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99" i="1"/>
  <c r="A199"/>
  <c r="A198"/>
  <c r="A196"/>
  <c r="A193"/>
  <c r="A192"/>
  <c r="A189"/>
  <c r="A188"/>
  <c r="C186"/>
  <c r="A186"/>
  <c r="A185"/>
  <c r="A184"/>
  <c r="A183"/>
  <c r="C182"/>
  <c r="F179"/>
  <c r="D179"/>
  <c r="A179"/>
  <c r="A178"/>
  <c r="A177"/>
  <c r="F176"/>
  <c r="F211" s="1"/>
  <c r="D176"/>
  <c r="A176"/>
  <c r="C175"/>
  <c r="A175"/>
  <c r="C174"/>
  <c r="A174"/>
  <c r="A173"/>
  <c r="C172"/>
  <c r="A172"/>
  <c r="F171"/>
  <c r="D171"/>
  <c r="C171"/>
  <c r="A171"/>
  <c r="D170"/>
  <c r="C169"/>
  <c r="A169"/>
  <c r="A168"/>
  <c r="A201" s="1"/>
  <c r="A211" s="1"/>
  <c r="F166"/>
  <c r="D166"/>
  <c r="C166"/>
  <c r="C201" s="1"/>
  <c r="A166"/>
  <c r="F142"/>
  <c r="D139"/>
  <c r="D138"/>
  <c r="D142" s="1"/>
  <c r="F135"/>
  <c r="F134"/>
  <c r="D134"/>
  <c r="D133"/>
  <c r="D132"/>
  <c r="D135" s="1"/>
  <c r="D129"/>
  <c r="F127"/>
  <c r="D126"/>
  <c r="D125"/>
  <c r="D124"/>
  <c r="D127" s="1"/>
  <c r="D121"/>
  <c r="D120"/>
  <c r="F117"/>
  <c r="D117"/>
  <c r="D118" s="1"/>
  <c r="F115" s="1"/>
  <c r="F118" s="1"/>
  <c r="D112"/>
  <c r="F109" s="1"/>
  <c r="F112" s="1"/>
  <c r="D106"/>
  <c r="F103" s="1"/>
  <c r="F106" s="1"/>
  <c r="F105"/>
  <c r="D100"/>
  <c r="F97"/>
  <c r="F100" s="1"/>
  <c r="D94"/>
  <c r="F91" s="1"/>
  <c r="F94" s="1"/>
  <c r="D88"/>
  <c r="F85"/>
  <c r="F88" s="1"/>
  <c r="D82"/>
  <c r="F79" s="1"/>
  <c r="F82" s="1"/>
  <c r="F81"/>
  <c r="D76"/>
  <c r="F73"/>
  <c r="F76" s="1"/>
  <c r="F69"/>
  <c r="D69"/>
  <c r="F67"/>
  <c r="F66"/>
  <c r="D63"/>
  <c r="F60" s="1"/>
  <c r="F63" s="1"/>
  <c r="F62"/>
  <c r="F61"/>
  <c r="D57"/>
  <c r="F55"/>
  <c r="F54"/>
  <c r="F57" s="1"/>
  <c r="D51"/>
  <c r="F49"/>
  <c r="F48"/>
  <c r="F51" s="1"/>
  <c r="A48"/>
  <c r="C45" s="1"/>
  <c r="C48" s="1"/>
  <c r="C47"/>
  <c r="C46"/>
  <c r="D45"/>
  <c r="F42" s="1"/>
  <c r="F45" s="1"/>
  <c r="F43"/>
  <c r="A42"/>
  <c r="D39"/>
  <c r="F36" s="1"/>
  <c r="F39" s="1"/>
  <c r="C39"/>
  <c r="C42" s="1"/>
  <c r="A36"/>
  <c r="C33" s="1"/>
  <c r="C36" s="1"/>
  <c r="C35"/>
  <c r="D33"/>
  <c r="F30" s="1"/>
  <c r="F33" s="1"/>
  <c r="F31"/>
  <c r="A30"/>
  <c r="C28" s="1"/>
  <c r="C30" s="1"/>
  <c r="C29"/>
  <c r="D27"/>
  <c r="F24" s="1"/>
  <c r="F27" s="1"/>
  <c r="F25"/>
  <c r="A25"/>
  <c r="C24"/>
  <c r="A24"/>
  <c r="A23"/>
  <c r="C22"/>
  <c r="A22"/>
  <c r="C21"/>
  <c r="A20"/>
  <c r="D19"/>
  <c r="F16" s="1"/>
  <c r="F18"/>
  <c r="F19" s="1"/>
  <c r="C18"/>
  <c r="C25" s="1"/>
  <c r="A18"/>
  <c r="A17"/>
  <c r="D13"/>
  <c r="A13"/>
  <c r="A144" s="1"/>
  <c r="C11"/>
  <c r="D144" l="1"/>
  <c r="C211"/>
  <c r="C209"/>
  <c r="C12" s="1"/>
  <c r="C13" s="1"/>
  <c r="C144" s="1"/>
  <c r="D211"/>
  <c r="D207"/>
  <c r="F10"/>
  <c r="F13" s="1"/>
  <c r="F144" s="1"/>
</calcChain>
</file>

<file path=xl/sharedStrings.xml><?xml version="1.0" encoding="utf-8"?>
<sst xmlns="http://schemas.openxmlformats.org/spreadsheetml/2006/main" count="216" uniqueCount="123">
  <si>
    <t>RIZVI EDUCATION SOCIETY</t>
  </si>
  <si>
    <t>RIZVI COLLEGE OF ARTS SCIENCE &amp; COMMERCE (DEGREE)</t>
  </si>
  <si>
    <r>
      <t>BALANCE SHEET AS ON 31</t>
    </r>
    <r>
      <rPr>
        <b/>
        <vertAlign val="superscript"/>
        <sz val="11"/>
        <rFont val="Calibri"/>
        <family val="2"/>
        <scheme val="minor"/>
      </rPr>
      <t>ST</t>
    </r>
    <r>
      <rPr>
        <b/>
        <sz val="11"/>
        <rFont val="Calibri"/>
        <family val="2"/>
        <scheme val="minor"/>
      </rPr>
      <t xml:space="preserve"> MARCH 2022</t>
    </r>
  </si>
  <si>
    <t>As On</t>
  </si>
  <si>
    <r>
      <t>31</t>
    </r>
    <r>
      <rPr>
        <b/>
        <vertAlign val="superscript"/>
        <sz val="11"/>
        <rFont val="Calibri"/>
        <family val="2"/>
        <scheme val="minor"/>
      </rPr>
      <t>ST</t>
    </r>
    <r>
      <rPr>
        <b/>
        <sz val="11"/>
        <rFont val="Calibri"/>
        <family val="2"/>
        <scheme val="minor"/>
      </rPr>
      <t xml:space="preserve"> MARCH 21</t>
    </r>
  </si>
  <si>
    <t>LIABILITIES</t>
  </si>
  <si>
    <r>
      <t>31</t>
    </r>
    <r>
      <rPr>
        <b/>
        <vertAlign val="superscript"/>
        <sz val="11"/>
        <rFont val="Calibri"/>
        <family val="2"/>
        <scheme val="minor"/>
      </rPr>
      <t>ST</t>
    </r>
    <r>
      <rPr>
        <b/>
        <sz val="11"/>
        <rFont val="Calibri"/>
        <family val="2"/>
        <scheme val="minor"/>
      </rPr>
      <t xml:space="preserve"> MARCH 22</t>
    </r>
  </si>
  <si>
    <t xml:space="preserve"> ASSETS</t>
  </si>
  <si>
    <t>Rs.</t>
  </si>
  <si>
    <t>FIXED ASSETS</t>
  </si>
  <si>
    <t xml:space="preserve">Audio visual </t>
  </si>
  <si>
    <t>INCOME &amp; EXPENDITURE</t>
  </si>
  <si>
    <t>Opening</t>
  </si>
  <si>
    <t>Bal. as per last B.Sheet</t>
  </si>
  <si>
    <t>Add: Addition During the Year</t>
  </si>
  <si>
    <t>Add: Surplus during the year</t>
  </si>
  <si>
    <t>Less .: Depreciation</t>
  </si>
  <si>
    <t>CURRENT LIABILITIES</t>
  </si>
  <si>
    <t>Computer  Systems</t>
  </si>
  <si>
    <t>Library book bank deposit</t>
  </si>
  <si>
    <t xml:space="preserve">Scholarship </t>
  </si>
  <si>
    <t>Sundary Creditors</t>
  </si>
  <si>
    <t>Audit fees</t>
  </si>
  <si>
    <t>TDS PAYMENT</t>
  </si>
  <si>
    <t xml:space="preserve">DCPS </t>
  </si>
  <si>
    <t>Building Rent</t>
  </si>
  <si>
    <t>Library Barcode Machine</t>
  </si>
  <si>
    <t>Outstanding Salary</t>
  </si>
  <si>
    <t>EDUCATION &amp; CULTURAL FUND</t>
  </si>
  <si>
    <t>Balance as per last balance sheet</t>
  </si>
  <si>
    <t>Less : Written off</t>
  </si>
  <si>
    <t>Library computers</t>
  </si>
  <si>
    <t>CAUTION MONEY DEPOSIT</t>
  </si>
  <si>
    <t xml:space="preserve">Add: Addition </t>
  </si>
  <si>
    <t>Less : Written Off</t>
  </si>
  <si>
    <t>Furniture and Fixture</t>
  </si>
  <si>
    <t>LABORATORY  DEPOSIT</t>
  </si>
  <si>
    <t>Fire Extinguisher</t>
  </si>
  <si>
    <t>LIBRARY  DEPOSIT</t>
  </si>
  <si>
    <t>Office Equipment</t>
  </si>
  <si>
    <t xml:space="preserve">Sports Equipment </t>
  </si>
  <si>
    <t xml:space="preserve">Inter college </t>
  </si>
  <si>
    <t xml:space="preserve">Rizvi Education Society </t>
  </si>
  <si>
    <t>Telephone System</t>
  </si>
  <si>
    <t>water cooler &amp; Purifier</t>
  </si>
  <si>
    <t>Laboratory Equipment</t>
  </si>
  <si>
    <t>Physics</t>
  </si>
  <si>
    <t>Chemistry</t>
  </si>
  <si>
    <t>Botany</t>
  </si>
  <si>
    <t>Zoology</t>
  </si>
  <si>
    <t>Books</t>
  </si>
  <si>
    <t>CC tv camera</t>
  </si>
  <si>
    <t>Projector</t>
  </si>
  <si>
    <t xml:space="preserve">Fixed Deposit </t>
  </si>
  <si>
    <t>XXX</t>
  </si>
  <si>
    <t>CURRENT ASSETS</t>
  </si>
  <si>
    <t xml:space="preserve">Cap Account </t>
  </si>
  <si>
    <t>Electrical Security Deposit</t>
  </si>
  <si>
    <t>Fees Receivable</t>
  </si>
  <si>
    <t>LOANS &amp; ADVANCES</t>
  </si>
  <si>
    <t>Grant Receivable</t>
  </si>
  <si>
    <t xml:space="preserve">Building Rent </t>
  </si>
  <si>
    <t>Receivable From DSWO (Govt) DCPS</t>
  </si>
  <si>
    <t>Salary</t>
  </si>
  <si>
    <t>CASH &amp; BANK BALANCE</t>
  </si>
  <si>
    <t>Cash in hand</t>
  </si>
  <si>
    <t xml:space="preserve">Bank  Banlance </t>
  </si>
  <si>
    <t xml:space="preserve">                         As Per Our Report of Even Date</t>
  </si>
  <si>
    <t>Date :</t>
  </si>
  <si>
    <t>For Snehal KMT &amp; Associates</t>
  </si>
  <si>
    <t>PRINCIPAL</t>
  </si>
  <si>
    <t xml:space="preserve">       Chartered Accountants</t>
  </si>
  <si>
    <t>DEEPAK BAGRA</t>
  </si>
  <si>
    <t>Mumbai</t>
  </si>
  <si>
    <r>
      <t xml:space="preserve"> INCOME &amp; EXPENDITURE FOR THE YEAR ENDED 31</t>
    </r>
    <r>
      <rPr>
        <b/>
        <vertAlign val="superscript"/>
        <sz val="11"/>
        <rFont val="Calibri"/>
        <family val="2"/>
        <scheme val="minor"/>
      </rPr>
      <t>ST</t>
    </r>
    <r>
      <rPr>
        <b/>
        <sz val="11"/>
        <rFont val="Calibri"/>
        <family val="2"/>
        <scheme val="minor"/>
      </rPr>
      <t xml:space="preserve"> MARCH 2022</t>
    </r>
  </si>
  <si>
    <r>
      <t>31</t>
    </r>
    <r>
      <rPr>
        <b/>
        <vertAlign val="superscript"/>
        <sz val="11"/>
        <rFont val="Calibri"/>
        <family val="2"/>
        <scheme val="minor"/>
      </rPr>
      <t xml:space="preserve">ST </t>
    </r>
    <r>
      <rPr>
        <b/>
        <sz val="11"/>
        <rFont val="Calibri"/>
        <family val="2"/>
        <scheme val="minor"/>
      </rPr>
      <t>MARCH 21</t>
    </r>
  </si>
  <si>
    <t>EXPENDITURE</t>
  </si>
  <si>
    <t>INCOME</t>
  </si>
  <si>
    <t>Affiliation Expenses</t>
  </si>
  <si>
    <t>Salaries &amp; Incentives</t>
  </si>
  <si>
    <t>Tuition &amp; Other Fees</t>
  </si>
  <si>
    <t>Employers Contribution to PF</t>
  </si>
  <si>
    <t xml:space="preserve">Int. on Saving Bank A/c      </t>
  </si>
  <si>
    <t>Laboratory Expenses</t>
  </si>
  <si>
    <t>FD Interest :</t>
  </si>
  <si>
    <t>Professional Fees</t>
  </si>
  <si>
    <t>Int. on  Invst with HDFC LTD</t>
  </si>
  <si>
    <t>Library Expenses</t>
  </si>
  <si>
    <t>Telephone Charges</t>
  </si>
  <si>
    <t>Annual Maintanace charges</t>
  </si>
  <si>
    <t>Printing &amp; Stationery</t>
  </si>
  <si>
    <t>Postage &amp; Courier</t>
  </si>
  <si>
    <t>OTHER INCOME</t>
  </si>
  <si>
    <t>Conveyance expenses</t>
  </si>
  <si>
    <t>Misc. Receipt</t>
  </si>
  <si>
    <t>Univercity Exam Fees</t>
  </si>
  <si>
    <t>Bank Charges</t>
  </si>
  <si>
    <t>Gymkhana Expenses</t>
  </si>
  <si>
    <t>Grant Rced</t>
  </si>
  <si>
    <t>Water Charges</t>
  </si>
  <si>
    <t>Convocation Expenses</t>
  </si>
  <si>
    <t>Depreciation</t>
  </si>
  <si>
    <t xml:space="preserve">Department Activites </t>
  </si>
  <si>
    <t xml:space="preserve">Gymkhana Remmuneration </t>
  </si>
  <si>
    <t>Examination Expenses</t>
  </si>
  <si>
    <t>Repairs &amp; Maintenance</t>
  </si>
  <si>
    <t xml:space="preserve">Extra Curricular Activity </t>
  </si>
  <si>
    <t xml:space="preserve">Cash Allowance </t>
  </si>
  <si>
    <t>Electricity Charges</t>
  </si>
  <si>
    <t>Audit Fees</t>
  </si>
  <si>
    <t>Environment Expenses</t>
  </si>
  <si>
    <t>NCC Grant and Expenses</t>
  </si>
  <si>
    <t>NSS Grant and Expenses</t>
  </si>
  <si>
    <t>Advertisement</t>
  </si>
  <si>
    <t>Education Tour</t>
  </si>
  <si>
    <t>Computer Expenses</t>
  </si>
  <si>
    <t xml:space="preserve">CAS Expert Allownce </t>
  </si>
  <si>
    <t>Binding charges</t>
  </si>
  <si>
    <t>Sundry Expenses</t>
  </si>
  <si>
    <t xml:space="preserve"> Tada Expense</t>
  </si>
  <si>
    <t>EXCESS OF  EXPS. OVER INCOME</t>
  </si>
  <si>
    <t>TRANSFER RED TO BALANCE SHEET</t>
  </si>
  <si>
    <t>EXCESS OF INCOME OVER EXPS.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</si>
</sst>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43" fontId="2" fillId="0" borderId="4" xfId="1" applyFont="1" applyFill="1" applyBorder="1"/>
    <xf numFmtId="0" fontId="2" fillId="0" borderId="0" xfId="0" applyFont="1"/>
    <xf numFmtId="164" fontId="2" fillId="0" borderId="0" xfId="1" applyNumberFormat="1" applyFont="1" applyFill="1" applyBorder="1"/>
    <xf numFmtId="43" fontId="2" fillId="0" borderId="0" xfId="1" applyFont="1" applyFill="1" applyBorder="1"/>
    <xf numFmtId="164" fontId="2" fillId="0" borderId="5" xfId="1" applyNumberFormat="1" applyFont="1" applyFill="1" applyBorder="1"/>
    <xf numFmtId="43" fontId="2" fillId="0" borderId="6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0" fontId="2" fillId="0" borderId="6" xfId="0" applyFont="1" applyBorder="1"/>
    <xf numFmtId="164" fontId="2" fillId="0" borderId="3" xfId="1" applyNumberFormat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9" xfId="0" applyFont="1" applyBorder="1"/>
    <xf numFmtId="164" fontId="2" fillId="0" borderId="8" xfId="1" applyNumberFormat="1" applyFont="1" applyFill="1" applyBorder="1" applyAlignment="1">
      <alignment horizontal="center"/>
    </xf>
    <xf numFmtId="0" fontId="2" fillId="0" borderId="8" xfId="0" applyFont="1" applyBorder="1"/>
    <xf numFmtId="164" fontId="2" fillId="0" borderId="10" xfId="1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0" fontId="4" fillId="0" borderId="0" xfId="0" applyFont="1" applyBorder="1"/>
    <xf numFmtId="43" fontId="2" fillId="0" borderId="5" xfId="1" applyFont="1" applyFill="1" applyBorder="1" applyAlignment="1">
      <alignment horizontal="center"/>
    </xf>
    <xf numFmtId="43" fontId="5" fillId="0" borderId="7" xfId="1" applyFont="1" applyFill="1" applyBorder="1"/>
    <xf numFmtId="0" fontId="4" fillId="0" borderId="0" xfId="0" applyFont="1"/>
    <xf numFmtId="164" fontId="2" fillId="0" borderId="7" xfId="1" applyNumberFormat="1" applyFont="1" applyFill="1" applyBorder="1"/>
    <xf numFmtId="43" fontId="5" fillId="0" borderId="5" xfId="1" applyFont="1" applyFill="1" applyBorder="1"/>
    <xf numFmtId="0" fontId="5" fillId="0" borderId="0" xfId="0" applyFont="1" applyBorder="1"/>
    <xf numFmtId="164" fontId="5" fillId="0" borderId="7" xfId="1" applyNumberFormat="1" applyFont="1" applyFill="1" applyBorder="1" applyAlignment="1">
      <alignment horizontal="center"/>
    </xf>
    <xf numFmtId="43" fontId="5" fillId="0" borderId="7" xfId="1" applyFont="1" applyFill="1" applyBorder="1" applyAlignment="1">
      <alignment horizontal="right"/>
    </xf>
    <xf numFmtId="0" fontId="5" fillId="0" borderId="0" xfId="0" applyFont="1"/>
    <xf numFmtId="164" fontId="5" fillId="0" borderId="7" xfId="1" applyNumberFormat="1" applyFont="1" applyFill="1" applyBorder="1"/>
    <xf numFmtId="43" fontId="2" fillId="0" borderId="11" xfId="1" applyFont="1" applyFill="1" applyBorder="1"/>
    <xf numFmtId="164" fontId="2" fillId="0" borderId="11" xfId="1" applyNumberFormat="1" applyFont="1" applyFill="1" applyBorder="1"/>
    <xf numFmtId="43" fontId="2" fillId="0" borderId="12" xfId="1" applyFont="1" applyFill="1" applyBorder="1"/>
    <xf numFmtId="43" fontId="2" fillId="0" borderId="7" xfId="1" applyFont="1" applyFill="1" applyBorder="1"/>
    <xf numFmtId="0" fontId="4" fillId="0" borderId="0" xfId="0" applyFont="1" applyBorder="1" applyAlignment="1">
      <alignment vertical="center"/>
    </xf>
    <xf numFmtId="43" fontId="0" fillId="0" borderId="7" xfId="1" applyFont="1" applyBorder="1"/>
    <xf numFmtId="43" fontId="2" fillId="0" borderId="5" xfId="1" applyFont="1" applyFill="1" applyBorder="1"/>
    <xf numFmtId="164" fontId="5" fillId="2" borderId="8" xfId="1" applyNumberFormat="1" applyFont="1" applyFill="1" applyBorder="1"/>
    <xf numFmtId="164" fontId="5" fillId="2" borderId="7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43" fontId="2" fillId="0" borderId="13" xfId="1" applyFont="1" applyFill="1" applyBorder="1"/>
    <xf numFmtId="164" fontId="2" fillId="0" borderId="13" xfId="1" applyNumberFormat="1" applyFont="1" applyFill="1" applyBorder="1"/>
    <xf numFmtId="164" fontId="2" fillId="0" borderId="4" xfId="1" applyNumberFormat="1" applyFont="1" applyFill="1" applyBorder="1"/>
    <xf numFmtId="43" fontId="5" fillId="0" borderId="0" xfId="0" applyNumberFormat="1" applyFont="1"/>
    <xf numFmtId="164" fontId="2" fillId="0" borderId="13" xfId="1" applyNumberFormat="1" applyFont="1" applyFill="1" applyBorder="1" applyAlignment="1">
      <alignment horizontal="center"/>
    </xf>
    <xf numFmtId="164" fontId="2" fillId="0" borderId="14" xfId="1" applyNumberFormat="1" applyFont="1" applyFill="1" applyBorder="1"/>
    <xf numFmtId="164" fontId="5" fillId="0" borderId="5" xfId="1" applyNumberFormat="1" applyFont="1" applyFill="1" applyBorder="1"/>
    <xf numFmtId="164" fontId="5" fillId="0" borderId="0" xfId="1" applyNumberFormat="1" applyFont="1" applyFill="1" applyBorder="1"/>
    <xf numFmtId="164" fontId="5" fillId="0" borderId="15" xfId="1" applyNumberFormat="1" applyFont="1" applyFill="1" applyBorder="1"/>
    <xf numFmtId="164" fontId="5" fillId="0" borderId="13" xfId="1" applyNumberFormat="1" applyFont="1" applyFill="1" applyBorder="1"/>
    <xf numFmtId="43" fontId="5" fillId="0" borderId="14" xfId="1" applyFont="1" applyFill="1" applyBorder="1"/>
    <xf numFmtId="43" fontId="5" fillId="0" borderId="8" xfId="1" applyFont="1" applyFill="1" applyBorder="1"/>
    <xf numFmtId="164" fontId="5" fillId="0" borderId="8" xfId="1" applyNumberFormat="1" applyFont="1" applyFill="1" applyBorder="1"/>
    <xf numFmtId="43" fontId="2" fillId="0" borderId="16" xfId="1" applyFont="1" applyFill="1" applyBorder="1"/>
    <xf numFmtId="0" fontId="5" fillId="0" borderId="17" xfId="0" applyFont="1" applyBorder="1"/>
    <xf numFmtId="164" fontId="2" fillId="0" borderId="16" xfId="1" applyNumberFormat="1" applyFont="1" applyFill="1" applyBorder="1"/>
    <xf numFmtId="0" fontId="5" fillId="0" borderId="16" xfId="0" applyFont="1" applyBorder="1"/>
    <xf numFmtId="164" fontId="2" fillId="0" borderId="18" xfId="1" applyNumberFormat="1" applyFont="1" applyFill="1" applyBorder="1"/>
    <xf numFmtId="43" fontId="2" fillId="0" borderId="1" xfId="1" applyFont="1" applyFill="1" applyBorder="1"/>
    <xf numFmtId="0" fontId="2" fillId="0" borderId="2" xfId="0" applyFont="1" applyBorder="1"/>
    <xf numFmtId="43" fontId="2" fillId="0" borderId="2" xfId="1" applyFont="1" applyFill="1" applyBorder="1"/>
    <xf numFmtId="164" fontId="2" fillId="0" borderId="3" xfId="1" applyNumberFormat="1" applyFont="1" applyFill="1" applyBorder="1"/>
    <xf numFmtId="43" fontId="2" fillId="0" borderId="0" xfId="1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164" fontId="2" fillId="0" borderId="5" xfId="1" applyNumberFormat="1" applyFont="1" applyFill="1" applyBorder="1" applyProtection="1">
      <protection locked="0"/>
    </xf>
    <xf numFmtId="43" fontId="2" fillId="0" borderId="4" xfId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3" fontId="2" fillId="0" borderId="0" xfId="1" applyFont="1" applyFill="1" applyBorder="1" applyAlignment="1" applyProtection="1">
      <alignment horizontal="center"/>
      <protection locked="0"/>
    </xf>
    <xf numFmtId="43" fontId="2" fillId="0" borderId="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43" fontId="2" fillId="0" borderId="4" xfId="1" applyFont="1" applyFill="1" applyBorder="1" applyAlignment="1" applyProtection="1">
      <alignment horizontal="left"/>
      <protection locked="0"/>
    </xf>
    <xf numFmtId="43" fontId="2" fillId="0" borderId="0" xfId="1" applyFont="1" applyFill="1" applyBorder="1" applyAlignment="1" applyProtection="1">
      <alignment horizontal="center" vertical="center"/>
      <protection locked="0"/>
    </xf>
    <xf numFmtId="43" fontId="2" fillId="0" borderId="0" xfId="1" applyFont="1" applyFill="1" applyBorder="1" applyAlignment="1" applyProtection="1">
      <alignment horizontal="left"/>
      <protection locked="0"/>
    </xf>
    <xf numFmtId="164" fontId="2" fillId="0" borderId="5" xfId="1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165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5" xfId="1" applyNumberFormat="1" applyFont="1" applyFill="1" applyBorder="1" applyAlignment="1" applyProtection="1">
      <alignment horizontal="left"/>
      <protection locked="0"/>
    </xf>
    <xf numFmtId="43" fontId="2" fillId="0" borderId="19" xfId="1" applyFont="1" applyFill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43" fontId="2" fillId="0" borderId="9" xfId="1" applyFont="1" applyFill="1" applyBorder="1" applyProtection="1">
      <protection locked="0"/>
    </xf>
    <xf numFmtId="43" fontId="2" fillId="0" borderId="9" xfId="1" applyFont="1" applyFill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/>
      <protection locked="0"/>
    </xf>
    <xf numFmtId="164" fontId="2" fillId="0" borderId="10" xfId="1" applyNumberFormat="1" applyFont="1" applyFill="1" applyBorder="1" applyAlignment="1" applyProtection="1">
      <alignment horizontal="center"/>
      <protection locked="0"/>
    </xf>
    <xf numFmtId="43" fontId="5" fillId="0" borderId="0" xfId="1" applyFont="1" applyFill="1"/>
    <xf numFmtId="164" fontId="5" fillId="0" borderId="0" xfId="1" applyNumberFormat="1" applyFont="1" applyFill="1"/>
    <xf numFmtId="43" fontId="5" fillId="0" borderId="19" xfId="1" applyFont="1" applyFill="1" applyBorder="1"/>
    <xf numFmtId="0" fontId="5" fillId="0" borderId="9" xfId="0" applyFont="1" applyBorder="1"/>
    <xf numFmtId="164" fontId="5" fillId="0" borderId="9" xfId="1" applyNumberFormat="1" applyFont="1" applyFill="1" applyBorder="1"/>
    <xf numFmtId="43" fontId="5" fillId="0" borderId="9" xfId="1" applyFont="1" applyFill="1" applyBorder="1"/>
    <xf numFmtId="164" fontId="5" fillId="0" borderId="10" xfId="1" applyNumberFormat="1" applyFont="1" applyFill="1" applyBorder="1"/>
    <xf numFmtId="0" fontId="2" fillId="0" borderId="6" xfId="0" applyFont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5" fillId="0" borderId="6" xfId="1" applyFont="1" applyFill="1" applyBorder="1"/>
    <xf numFmtId="164" fontId="5" fillId="0" borderId="6" xfId="1" applyNumberFormat="1" applyFont="1" applyFill="1" applyBorder="1"/>
    <xf numFmtId="0" fontId="5" fillId="0" borderId="7" xfId="0" applyFont="1" applyBorder="1"/>
    <xf numFmtId="0" fontId="2" fillId="0" borderId="7" xfId="0" applyFont="1" applyBorder="1"/>
    <xf numFmtId="0" fontId="2" fillId="0" borderId="20" xfId="0" applyFont="1" applyBorder="1"/>
    <xf numFmtId="43" fontId="2" fillId="0" borderId="18" xfId="1" applyFont="1" applyFill="1" applyBorder="1"/>
    <xf numFmtId="0" fontId="2" fillId="0" borderId="16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221</xdr:row>
      <xdr:rowOff>15247</xdr:rowOff>
    </xdr:from>
    <xdr:to>
      <xdr:col>5</xdr:col>
      <xdr:colOff>1003136</xdr:colOff>
      <xdr:row>228</xdr:row>
      <xdr:rowOff>31713</xdr:rowOff>
    </xdr:to>
    <xdr:pic>
      <xdr:nvPicPr>
        <xdr:cNvPr id="2" name="Picture 1" descr="Digital Stam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4" y="42344347"/>
          <a:ext cx="8489787" cy="1349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topLeftCell="A216" workbookViewId="0">
      <selection activeCell="D236" sqref="D236"/>
    </sheetView>
  </sheetViews>
  <sheetFormatPr defaultRowHeight="15"/>
  <cols>
    <col min="1" max="1" width="18.5703125" customWidth="1"/>
    <col min="2" max="2" width="29.5703125" customWidth="1"/>
    <col min="3" max="3" width="15.28515625" customWidth="1"/>
    <col min="4" max="4" width="15" customWidth="1"/>
    <col min="5" max="5" width="37.42578125" customWidth="1"/>
    <col min="6" max="6" width="17.140625" customWidth="1"/>
  </cols>
  <sheetData>
    <row r="1" spans="1:6">
      <c r="A1" s="108" t="s">
        <v>0</v>
      </c>
      <c r="B1" s="109"/>
      <c r="C1" s="109"/>
      <c r="D1" s="109"/>
      <c r="E1" s="109"/>
      <c r="F1" s="110"/>
    </row>
    <row r="2" spans="1:6">
      <c r="A2" s="103" t="s">
        <v>1</v>
      </c>
      <c r="B2" s="104"/>
      <c r="C2" s="104"/>
      <c r="D2" s="104"/>
      <c r="E2" s="104"/>
      <c r="F2" s="105"/>
    </row>
    <row r="3" spans="1:6" ht="17.25">
      <c r="A3" s="103" t="s">
        <v>2</v>
      </c>
      <c r="B3" s="104"/>
      <c r="C3" s="104"/>
      <c r="D3" s="104"/>
      <c r="E3" s="104"/>
      <c r="F3" s="105"/>
    </row>
    <row r="4" spans="1:6" ht="15.75" thickBot="1">
      <c r="A4" s="1"/>
      <c r="B4" s="2"/>
      <c r="C4" s="3"/>
      <c r="D4" s="4"/>
      <c r="E4" s="2"/>
      <c r="F4" s="5"/>
    </row>
    <row r="5" spans="1:6">
      <c r="A5" s="6" t="s">
        <v>3</v>
      </c>
      <c r="B5" s="7"/>
      <c r="C5" s="8" t="s">
        <v>3</v>
      </c>
      <c r="D5" s="6" t="s">
        <v>3</v>
      </c>
      <c r="E5" s="9"/>
      <c r="F5" s="10" t="s">
        <v>3</v>
      </c>
    </row>
    <row r="6" spans="1:6" ht="17.25">
      <c r="A6" s="11" t="s">
        <v>4</v>
      </c>
      <c r="B6" s="12" t="s">
        <v>5</v>
      </c>
      <c r="C6" s="13" t="s">
        <v>6</v>
      </c>
      <c r="D6" s="11" t="s">
        <v>4</v>
      </c>
      <c r="E6" s="14" t="s">
        <v>7</v>
      </c>
      <c r="F6" s="13" t="s">
        <v>6</v>
      </c>
    </row>
    <row r="7" spans="1:6" ht="15.75" thickBot="1">
      <c r="A7" s="15" t="s">
        <v>8</v>
      </c>
      <c r="B7" s="16"/>
      <c r="C7" s="17" t="s">
        <v>8</v>
      </c>
      <c r="D7" s="15" t="s">
        <v>8</v>
      </c>
      <c r="E7" s="18"/>
      <c r="F7" s="19" t="s">
        <v>8</v>
      </c>
    </row>
    <row r="8" spans="1:6">
      <c r="A8" s="6"/>
      <c r="B8" s="2"/>
      <c r="C8" s="8"/>
      <c r="D8" s="20"/>
      <c r="E8" s="21" t="s">
        <v>9</v>
      </c>
      <c r="F8" s="8"/>
    </row>
    <row r="9" spans="1:6">
      <c r="A9" s="11"/>
      <c r="B9" s="2"/>
      <c r="C9" s="13"/>
      <c r="D9" s="22"/>
      <c r="E9" s="21" t="s">
        <v>10</v>
      </c>
      <c r="F9" s="13"/>
    </row>
    <row r="10" spans="1:6">
      <c r="A10" s="23"/>
      <c r="B10" s="24" t="s">
        <v>11</v>
      </c>
      <c r="C10" s="25"/>
      <c r="D10" s="26">
        <v>33356.92</v>
      </c>
      <c r="E10" s="27" t="s">
        <v>12</v>
      </c>
      <c r="F10" s="28">
        <f>D13</f>
        <v>268852.45999999996</v>
      </c>
    </row>
    <row r="11" spans="1:6">
      <c r="A11" s="29">
        <v>20817063.079999998</v>
      </c>
      <c r="B11" s="30" t="s">
        <v>13</v>
      </c>
      <c r="C11" s="31">
        <f>A13</f>
        <v>25796856.410000011</v>
      </c>
      <c r="D11" s="26">
        <v>259999</v>
      </c>
      <c r="E11" s="27" t="s">
        <v>14</v>
      </c>
      <c r="F11" s="28">
        <v>49309</v>
      </c>
    </row>
    <row r="12" spans="1:6">
      <c r="A12" s="29">
        <v>4979793.3300000131</v>
      </c>
      <c r="B12" s="30" t="s">
        <v>15</v>
      </c>
      <c r="C12" s="31">
        <f>C209</f>
        <v>8499069.8700000048</v>
      </c>
      <c r="D12" s="26">
        <v>-24503.46</v>
      </c>
      <c r="E12" s="27" t="s">
        <v>16</v>
      </c>
      <c r="F12" s="28">
        <v>-47571</v>
      </c>
    </row>
    <row r="13" spans="1:6">
      <c r="A13" s="32">
        <f>SUM(A11:A12)</f>
        <v>25796856.410000011</v>
      </c>
      <c r="B13" s="30"/>
      <c r="C13" s="33">
        <f>SUM(C11:C12)</f>
        <v>34295926.280000016</v>
      </c>
      <c r="D13" s="34">
        <f>SUM(D10:D12)</f>
        <v>268852.45999999996</v>
      </c>
      <c r="E13" s="27"/>
      <c r="F13" s="33">
        <f>SUM(F10:F12)</f>
        <v>270590.45999999996</v>
      </c>
    </row>
    <row r="14" spans="1:6">
      <c r="A14" s="23"/>
      <c r="B14" s="30"/>
      <c r="C14" s="31"/>
      <c r="D14" s="26"/>
      <c r="E14" s="27"/>
      <c r="F14" s="28"/>
    </row>
    <row r="15" spans="1:6">
      <c r="A15" s="35"/>
      <c r="B15" s="24" t="s">
        <v>17</v>
      </c>
      <c r="C15" s="31"/>
      <c r="D15" s="26"/>
      <c r="E15" s="36" t="s">
        <v>18</v>
      </c>
      <c r="F15" s="28"/>
    </row>
    <row r="16" spans="1:6">
      <c r="A16" s="37"/>
      <c r="C16" s="31"/>
      <c r="D16" s="26">
        <v>300111.82</v>
      </c>
      <c r="E16" s="27" t="s">
        <v>12</v>
      </c>
      <c r="F16" s="28">
        <f>D19</f>
        <v>364466.34000000008</v>
      </c>
    </row>
    <row r="17" spans="1:6">
      <c r="A17" s="31">
        <f>34270</f>
        <v>34270</v>
      </c>
      <c r="B17" s="30" t="s">
        <v>19</v>
      </c>
      <c r="C17" s="31">
        <v>39940</v>
      </c>
      <c r="D17" s="26">
        <v>262876</v>
      </c>
      <c r="E17" s="27" t="s">
        <v>14</v>
      </c>
      <c r="F17" s="28">
        <v>502396</v>
      </c>
    </row>
    <row r="18" spans="1:6">
      <c r="A18" s="31">
        <f>47872.5+2705-825+11155+4210+545+13725</f>
        <v>79387.5</v>
      </c>
      <c r="B18" s="30" t="s">
        <v>20</v>
      </c>
      <c r="C18" s="31">
        <f>47872.5+2705-825+11247.5+4210+545+14675-626</f>
        <v>79804</v>
      </c>
      <c r="D18" s="26">
        <v>-198521.48</v>
      </c>
      <c r="E18" s="27" t="s">
        <v>16</v>
      </c>
      <c r="F18" s="28">
        <f>223436+15178+5444</f>
        <v>244058</v>
      </c>
    </row>
    <row r="19" spans="1:6">
      <c r="A19" s="31"/>
      <c r="B19" s="30" t="s">
        <v>21</v>
      </c>
      <c r="C19" s="31">
        <v>109614</v>
      </c>
      <c r="D19" s="34">
        <f>SUM(D16:D18)</f>
        <v>364466.34000000008</v>
      </c>
      <c r="E19" s="27"/>
      <c r="F19" s="33">
        <f>SUM(F16:F17)-F18</f>
        <v>622804.34000000008</v>
      </c>
    </row>
    <row r="20" spans="1:6">
      <c r="A20" s="31">
        <f>64800</f>
        <v>64800</v>
      </c>
      <c r="B20" s="30" t="s">
        <v>22</v>
      </c>
      <c r="C20" s="31">
        <v>90540</v>
      </c>
      <c r="D20" s="38"/>
      <c r="E20" s="27"/>
      <c r="F20" s="13"/>
    </row>
    <row r="21" spans="1:6">
      <c r="A21" s="31">
        <v>1100</v>
      </c>
      <c r="B21" s="30" t="s">
        <v>23</v>
      </c>
      <c r="C21" s="31">
        <f>2069-717</f>
        <v>1352</v>
      </c>
      <c r="D21" s="38"/>
      <c r="E21" s="27"/>
      <c r="F21" s="13"/>
    </row>
    <row r="22" spans="1:6">
      <c r="A22" s="31">
        <f>5946345</f>
        <v>5946345</v>
      </c>
      <c r="B22" s="30" t="s">
        <v>24</v>
      </c>
      <c r="C22" s="31">
        <f>5061315</f>
        <v>5061315</v>
      </c>
      <c r="D22" s="38"/>
      <c r="E22" s="27"/>
      <c r="F22" s="13"/>
    </row>
    <row r="23" spans="1:6">
      <c r="A23" s="31">
        <f>1416000</f>
        <v>1416000</v>
      </c>
      <c r="B23" s="30" t="s">
        <v>25</v>
      </c>
      <c r="C23" s="31">
        <v>708000</v>
      </c>
      <c r="D23" s="26"/>
      <c r="E23" s="36" t="s">
        <v>26</v>
      </c>
      <c r="F23" s="28"/>
    </row>
    <row r="24" spans="1:6" ht="15.75" thickBot="1">
      <c r="A24" s="39">
        <f>1675200+23804491+5847737-18710711.65-400</f>
        <v>12616316.350000001</v>
      </c>
      <c r="B24" s="30" t="s">
        <v>27</v>
      </c>
      <c r="C24" s="40">
        <f>65591+578271+16200+261379.35+13408896</f>
        <v>14330337.35</v>
      </c>
      <c r="D24" s="26">
        <v>14972.380000000001</v>
      </c>
      <c r="E24" s="27" t="s">
        <v>12</v>
      </c>
      <c r="F24" s="28">
        <f>D27</f>
        <v>12726.52</v>
      </c>
    </row>
    <row r="25" spans="1:6">
      <c r="A25" s="35">
        <f>SUM(A16:A24)</f>
        <v>20158218.850000001</v>
      </c>
      <c r="B25" s="30"/>
      <c r="C25" s="33">
        <f>SUM(C16:C24)</f>
        <v>20420902.350000001</v>
      </c>
      <c r="D25" s="26">
        <v>0</v>
      </c>
      <c r="E25" s="27" t="s">
        <v>14</v>
      </c>
      <c r="F25" s="28">
        <f>0</f>
        <v>0</v>
      </c>
    </row>
    <row r="26" spans="1:6">
      <c r="A26" s="35"/>
      <c r="B26" s="30"/>
      <c r="C26" s="25"/>
      <c r="D26" s="26">
        <v>-2245.86</v>
      </c>
      <c r="E26" s="27" t="s">
        <v>16</v>
      </c>
      <c r="F26" s="28">
        <v>-1909</v>
      </c>
    </row>
    <row r="27" spans="1:6">
      <c r="A27" s="35"/>
      <c r="B27" s="24" t="s">
        <v>28</v>
      </c>
      <c r="C27" s="25"/>
      <c r="D27" s="34">
        <f>SUM(D24:D26)</f>
        <v>12726.52</v>
      </c>
      <c r="E27" s="27"/>
      <c r="F27" s="41">
        <f>SUM(F24:F26)</f>
        <v>10817.52</v>
      </c>
    </row>
    <row r="28" spans="1:6">
      <c r="A28" s="35">
        <v>194266.05</v>
      </c>
      <c r="B28" s="30" t="s">
        <v>29</v>
      </c>
      <c r="C28" s="25">
        <f>A30</f>
        <v>194266.05</v>
      </c>
      <c r="D28" s="38"/>
      <c r="E28" s="27"/>
      <c r="F28" s="13"/>
    </row>
    <row r="29" spans="1:6">
      <c r="A29" s="42">
        <v>0</v>
      </c>
      <c r="B29" s="30" t="s">
        <v>30</v>
      </c>
      <c r="C29" s="43">
        <f>0</f>
        <v>0</v>
      </c>
      <c r="D29" s="26"/>
      <c r="E29" s="36" t="s">
        <v>31</v>
      </c>
      <c r="F29" s="28"/>
    </row>
    <row r="30" spans="1:6">
      <c r="A30" s="35">
        <f>SUM(A28:A29)</f>
        <v>194266.05</v>
      </c>
      <c r="B30" s="30"/>
      <c r="C30" s="25">
        <f>SUM(C28:C29)</f>
        <v>194266.05</v>
      </c>
      <c r="D30" s="26">
        <v>129695.56</v>
      </c>
      <c r="E30" s="27" t="s">
        <v>12</v>
      </c>
      <c r="F30" s="28">
        <f>D33</f>
        <v>77817.56</v>
      </c>
    </row>
    <row r="31" spans="1:6">
      <c r="A31" s="35"/>
      <c r="B31" s="30"/>
      <c r="C31" s="25"/>
      <c r="D31" s="26">
        <v>0</v>
      </c>
      <c r="E31" s="27" t="s">
        <v>14</v>
      </c>
      <c r="F31" s="28">
        <f>0</f>
        <v>0</v>
      </c>
    </row>
    <row r="32" spans="1:6">
      <c r="A32" s="35"/>
      <c r="B32" s="24" t="s">
        <v>32</v>
      </c>
      <c r="C32" s="25"/>
      <c r="D32" s="26">
        <v>-51878</v>
      </c>
      <c r="E32" s="27" t="s">
        <v>16</v>
      </c>
      <c r="F32" s="28">
        <v>-15564</v>
      </c>
    </row>
    <row r="33" spans="1:6">
      <c r="A33" s="35">
        <v>884936</v>
      </c>
      <c r="B33" s="30" t="s">
        <v>29</v>
      </c>
      <c r="C33" s="25">
        <f>A36</f>
        <v>993686</v>
      </c>
      <c r="D33" s="34">
        <f>SUM(D30:D32)</f>
        <v>77817.56</v>
      </c>
      <c r="E33" s="27"/>
      <c r="F33" s="41">
        <f>SUM(F30:F32)</f>
        <v>62253.56</v>
      </c>
    </row>
    <row r="34" spans="1:6">
      <c r="A34" s="35">
        <v>112950</v>
      </c>
      <c r="B34" s="30" t="s">
        <v>33</v>
      </c>
      <c r="C34" s="25">
        <v>119400</v>
      </c>
      <c r="D34" s="38"/>
      <c r="E34" s="27"/>
      <c r="F34" s="13"/>
    </row>
    <row r="35" spans="1:6">
      <c r="A35" s="42">
        <v>-4200</v>
      </c>
      <c r="B35" s="30" t="s">
        <v>34</v>
      </c>
      <c r="C35" s="43">
        <f>-103800-401</f>
        <v>-104201</v>
      </c>
      <c r="D35" s="26"/>
      <c r="E35" s="36" t="s">
        <v>35</v>
      </c>
      <c r="F35" s="28"/>
    </row>
    <row r="36" spans="1:6">
      <c r="A36" s="35">
        <f>SUM(A33:A35)</f>
        <v>993686</v>
      </c>
      <c r="B36" s="30"/>
      <c r="C36" s="25">
        <f>SUM(C33:C35)</f>
        <v>1008885</v>
      </c>
      <c r="D36" s="26">
        <v>645677.61</v>
      </c>
      <c r="E36" s="27" t="s">
        <v>12</v>
      </c>
      <c r="F36" s="28">
        <f>D39</f>
        <v>622362.61</v>
      </c>
    </row>
    <row r="37" spans="1:6">
      <c r="A37" s="35"/>
      <c r="B37" s="30"/>
      <c r="C37" s="25"/>
      <c r="D37" s="26">
        <v>43424</v>
      </c>
      <c r="E37" s="27" t="s">
        <v>14</v>
      </c>
      <c r="F37" s="28">
        <v>23528</v>
      </c>
    </row>
    <row r="38" spans="1:6">
      <c r="A38" s="35"/>
      <c r="B38" s="24" t="s">
        <v>36</v>
      </c>
      <c r="C38" s="25"/>
      <c r="D38" s="26">
        <v>-66739</v>
      </c>
      <c r="E38" s="27" t="s">
        <v>16</v>
      </c>
      <c r="F38" s="28">
        <v>-63413</v>
      </c>
    </row>
    <row r="39" spans="1:6">
      <c r="A39" s="35">
        <v>270535</v>
      </c>
      <c r="B39" s="30" t="s">
        <v>29</v>
      </c>
      <c r="C39" s="25">
        <f>A42</f>
        <v>307735</v>
      </c>
      <c r="D39" s="34">
        <f>SUM(D36:D38)</f>
        <v>622362.61</v>
      </c>
      <c r="E39" s="27"/>
      <c r="F39" s="41">
        <f>SUM(F36:F38)</f>
        <v>582477.61</v>
      </c>
    </row>
    <row r="40" spans="1:6">
      <c r="A40" s="35">
        <v>39600</v>
      </c>
      <c r="B40" s="30" t="s">
        <v>33</v>
      </c>
      <c r="C40" s="25">
        <v>47250</v>
      </c>
      <c r="D40" s="38"/>
      <c r="E40" s="27"/>
      <c r="F40" s="13"/>
    </row>
    <row r="41" spans="1:6">
      <c r="A41" s="42">
        <v>-2400</v>
      </c>
      <c r="B41" s="30" t="s">
        <v>34</v>
      </c>
      <c r="C41" s="43">
        <v>-34300</v>
      </c>
      <c r="D41" s="26"/>
      <c r="E41" s="36" t="s">
        <v>37</v>
      </c>
      <c r="F41" s="28"/>
    </row>
    <row r="42" spans="1:6">
      <c r="A42" s="35">
        <f>SUM(A39:A41)</f>
        <v>307735</v>
      </c>
      <c r="B42" s="30"/>
      <c r="C42" s="25">
        <f>SUM(C39:C41)</f>
        <v>320685</v>
      </c>
      <c r="D42" s="26">
        <v>14913.429999999998</v>
      </c>
      <c r="E42" s="27" t="s">
        <v>12</v>
      </c>
      <c r="F42" s="28">
        <f>D45</f>
        <v>12676.419999999998</v>
      </c>
    </row>
    <row r="43" spans="1:6">
      <c r="A43" s="35"/>
      <c r="B43" s="30"/>
      <c r="C43" s="25"/>
      <c r="D43" s="26">
        <v>0</v>
      </c>
      <c r="E43" s="27" t="s">
        <v>14</v>
      </c>
      <c r="F43" s="28">
        <f>0</f>
        <v>0</v>
      </c>
    </row>
    <row r="44" spans="1:6">
      <c r="A44" s="35"/>
      <c r="B44" s="24" t="s">
        <v>38</v>
      </c>
      <c r="C44" s="25"/>
      <c r="D44" s="26">
        <v>-2237.0100000000002</v>
      </c>
      <c r="E44" s="27" t="s">
        <v>16</v>
      </c>
      <c r="F44" s="28">
        <v>-1901</v>
      </c>
    </row>
    <row r="45" spans="1:6">
      <c r="A45" s="35">
        <v>1536015</v>
      </c>
      <c r="B45" s="30" t="s">
        <v>29</v>
      </c>
      <c r="C45" s="25">
        <f>A48</f>
        <v>1718965</v>
      </c>
      <c r="D45" s="34">
        <f>SUM(D42:D44)</f>
        <v>12676.419999999998</v>
      </c>
      <c r="E45" s="27"/>
      <c r="F45" s="33">
        <f>SUM(F42:F44)</f>
        <v>10775.419999999998</v>
      </c>
    </row>
    <row r="46" spans="1:6">
      <c r="A46" s="35">
        <v>189950</v>
      </c>
      <c r="B46" s="30" t="s">
        <v>33</v>
      </c>
      <c r="C46" s="25">
        <f>198750</f>
        <v>198750</v>
      </c>
      <c r="D46" s="38"/>
      <c r="E46" s="27"/>
      <c r="F46" s="13"/>
    </row>
    <row r="47" spans="1:6">
      <c r="A47" s="42">
        <v>-7000</v>
      </c>
      <c r="B47" s="30" t="s">
        <v>34</v>
      </c>
      <c r="C47" s="43">
        <f>-163065</f>
        <v>-163065</v>
      </c>
      <c r="D47" s="26"/>
      <c r="E47" s="36" t="s">
        <v>39</v>
      </c>
      <c r="F47" s="28"/>
    </row>
    <row r="48" spans="1:6">
      <c r="A48" s="35">
        <f>SUM(A45:A47)</f>
        <v>1718965</v>
      </c>
      <c r="B48" s="30"/>
      <c r="C48" s="25">
        <f>SUM(C45:C47)</f>
        <v>1754650</v>
      </c>
      <c r="D48" s="26">
        <v>67763.12000000001</v>
      </c>
      <c r="E48" s="27" t="s">
        <v>12</v>
      </c>
      <c r="F48" s="28">
        <f>D51</f>
        <v>57598.650000000009</v>
      </c>
    </row>
    <row r="49" spans="1:6">
      <c r="A49" s="35"/>
      <c r="B49" s="30"/>
      <c r="C49" s="25"/>
      <c r="D49" s="26">
        <v>0</v>
      </c>
      <c r="E49" s="27" t="s">
        <v>14</v>
      </c>
      <c r="F49" s="28">
        <f>0</f>
        <v>0</v>
      </c>
    </row>
    <row r="50" spans="1:6">
      <c r="A50" s="35"/>
      <c r="B50" s="30"/>
      <c r="C50" s="25"/>
      <c r="D50" s="26">
        <v>-10164.469999999999</v>
      </c>
      <c r="E50" s="27" t="s">
        <v>16</v>
      </c>
      <c r="F50" s="28">
        <v>-8640</v>
      </c>
    </row>
    <row r="51" spans="1:6">
      <c r="A51" s="35"/>
      <c r="B51" s="30"/>
      <c r="C51" s="25"/>
      <c r="D51" s="34">
        <f>SUM(D48:D50)</f>
        <v>57598.650000000009</v>
      </c>
      <c r="E51" s="27"/>
      <c r="F51" s="41">
        <f>SUM(F48:F50)</f>
        <v>48958.650000000009</v>
      </c>
    </row>
    <row r="52" spans="1:6">
      <c r="A52" s="35"/>
      <c r="B52" s="24"/>
      <c r="C52" s="25"/>
      <c r="D52" s="38"/>
      <c r="E52" s="27"/>
      <c r="F52" s="13"/>
    </row>
    <row r="53" spans="1:6">
      <c r="A53" s="35"/>
      <c r="B53" s="30"/>
      <c r="C53" s="25"/>
      <c r="D53" s="26"/>
      <c r="E53" s="36" t="s">
        <v>40</v>
      </c>
      <c r="F53" s="28"/>
    </row>
    <row r="54" spans="1:6">
      <c r="A54" s="35"/>
      <c r="B54" s="30"/>
      <c r="C54" s="25"/>
      <c r="D54" s="26">
        <v>859.48</v>
      </c>
      <c r="E54" s="27" t="s">
        <v>12</v>
      </c>
      <c r="F54" s="28">
        <f>D57</f>
        <v>730.56000000000006</v>
      </c>
    </row>
    <row r="55" spans="1:6">
      <c r="A55" s="35"/>
      <c r="B55" s="24" t="s">
        <v>41</v>
      </c>
      <c r="C55" s="25"/>
      <c r="D55" s="26">
        <v>0</v>
      </c>
      <c r="E55" s="27" t="s">
        <v>14</v>
      </c>
      <c r="F55" s="28">
        <f>0</f>
        <v>0</v>
      </c>
    </row>
    <row r="56" spans="1:6">
      <c r="A56" s="44">
        <v>2998400.99</v>
      </c>
      <c r="B56" s="30" t="s">
        <v>42</v>
      </c>
      <c r="C56" s="25">
        <v>4194558.99</v>
      </c>
      <c r="D56" s="26">
        <v>-128.91999999999999</v>
      </c>
      <c r="E56" s="27" t="s">
        <v>16</v>
      </c>
      <c r="F56" s="28">
        <v>-110</v>
      </c>
    </row>
    <row r="57" spans="1:6">
      <c r="A57" s="35"/>
      <c r="B57" s="30"/>
      <c r="C57" s="25"/>
      <c r="D57" s="34">
        <f>SUM(D54:D56)</f>
        <v>730.56000000000006</v>
      </c>
      <c r="E57" s="27"/>
      <c r="F57" s="41">
        <f>SUM(F54:F56)</f>
        <v>620.56000000000006</v>
      </c>
    </row>
    <row r="58" spans="1:6">
      <c r="A58" s="35"/>
      <c r="B58" s="30"/>
      <c r="C58" s="25"/>
      <c r="D58" s="38"/>
      <c r="E58" s="27"/>
      <c r="F58" s="13"/>
    </row>
    <row r="59" spans="1:6">
      <c r="A59" s="35"/>
      <c r="B59" s="45"/>
      <c r="C59" s="25"/>
      <c r="D59" s="26"/>
      <c r="E59" s="36" t="s">
        <v>43</v>
      </c>
      <c r="F59" s="28"/>
    </row>
    <row r="60" spans="1:6">
      <c r="A60" s="35"/>
      <c r="B60" s="30"/>
      <c r="C60" s="25"/>
      <c r="D60" s="26">
        <v>4430.1499999999996</v>
      </c>
      <c r="E60" s="27" t="s">
        <v>12</v>
      </c>
      <c r="F60" s="28">
        <f>D63</f>
        <v>3765.6299999999997</v>
      </c>
    </row>
    <row r="61" spans="1:6">
      <c r="A61" s="35"/>
      <c r="B61" s="30"/>
      <c r="C61" s="25"/>
      <c r="D61" s="26">
        <v>0</v>
      </c>
      <c r="E61" s="27" t="s">
        <v>14</v>
      </c>
      <c r="F61" s="28">
        <f>0</f>
        <v>0</v>
      </c>
    </row>
    <row r="62" spans="1:6">
      <c r="A62" s="35"/>
      <c r="B62" s="30"/>
      <c r="C62" s="25"/>
      <c r="D62" s="26">
        <v>-664.52</v>
      </c>
      <c r="E62" s="27" t="s">
        <v>16</v>
      </c>
      <c r="F62" s="28">
        <f>-282</f>
        <v>-282</v>
      </c>
    </row>
    <row r="63" spans="1:6">
      <c r="A63" s="35"/>
      <c r="B63" s="30"/>
      <c r="C63" s="25"/>
      <c r="D63" s="34">
        <f>SUM(D60:D62)</f>
        <v>3765.6299999999997</v>
      </c>
      <c r="E63" s="27"/>
      <c r="F63" s="41">
        <f>SUM(F60:F62)</f>
        <v>3483.6299999999997</v>
      </c>
    </row>
    <row r="64" spans="1:6">
      <c r="A64" s="35"/>
      <c r="B64" s="30"/>
      <c r="C64" s="25"/>
      <c r="D64" s="38"/>
      <c r="E64" s="27"/>
      <c r="F64" s="13"/>
    </row>
    <row r="65" spans="1:6">
      <c r="A65" s="35"/>
      <c r="B65" s="30"/>
      <c r="C65" s="25"/>
      <c r="D65" s="26"/>
      <c r="E65" s="36" t="s">
        <v>44</v>
      </c>
      <c r="F65" s="28"/>
    </row>
    <row r="66" spans="1:6">
      <c r="A66" s="35"/>
      <c r="B66" s="30"/>
      <c r="C66" s="25"/>
      <c r="D66" s="26">
        <v>2108.81</v>
      </c>
      <c r="E66" s="27" t="s">
        <v>12</v>
      </c>
      <c r="F66" s="28">
        <f>D69</f>
        <v>1792.49</v>
      </c>
    </row>
    <row r="67" spans="1:6">
      <c r="A67" s="35"/>
      <c r="B67" s="30"/>
      <c r="C67" s="25"/>
      <c r="D67" s="26">
        <v>0</v>
      </c>
      <c r="E67" s="27" t="s">
        <v>14</v>
      </c>
      <c r="F67" s="28">
        <f>0</f>
        <v>0</v>
      </c>
    </row>
    <row r="68" spans="1:6">
      <c r="A68" s="35"/>
      <c r="B68" s="30"/>
      <c r="C68" s="25"/>
      <c r="D68" s="26">
        <v>-316.32</v>
      </c>
      <c r="E68" s="27" t="s">
        <v>16</v>
      </c>
      <c r="F68" s="28">
        <v>-136.5</v>
      </c>
    </row>
    <row r="69" spans="1:6">
      <c r="A69" s="35"/>
      <c r="B69" s="30"/>
      <c r="C69" s="25"/>
      <c r="D69" s="34">
        <f>SUM(D66:D68)</f>
        <v>1792.49</v>
      </c>
      <c r="E69" s="27"/>
      <c r="F69" s="41">
        <f>SUM(F66:F68)</f>
        <v>1655.99</v>
      </c>
    </row>
    <row r="70" spans="1:6">
      <c r="A70" s="35"/>
      <c r="B70" s="30"/>
      <c r="C70" s="25"/>
      <c r="D70" s="38"/>
      <c r="E70" s="27"/>
      <c r="F70" s="13"/>
    </row>
    <row r="71" spans="1:6">
      <c r="A71" s="35"/>
      <c r="B71" s="30"/>
      <c r="C71" s="25"/>
      <c r="D71" s="38"/>
      <c r="E71" s="27"/>
      <c r="F71" s="13"/>
    </row>
    <row r="72" spans="1:6">
      <c r="A72" s="35"/>
      <c r="B72" s="30"/>
      <c r="C72" s="25"/>
      <c r="D72" s="38"/>
      <c r="E72" s="21" t="s">
        <v>45</v>
      </c>
      <c r="F72" s="13"/>
    </row>
    <row r="73" spans="1:6">
      <c r="A73" s="35"/>
      <c r="B73" s="30"/>
      <c r="C73" s="25"/>
      <c r="D73" s="38">
        <v>50962.009999999995</v>
      </c>
      <c r="E73" s="27" t="s">
        <v>12</v>
      </c>
      <c r="F73" s="13">
        <f>D76</f>
        <v>43317.709999999992</v>
      </c>
    </row>
    <row r="74" spans="1:6">
      <c r="A74" s="35"/>
      <c r="B74" s="30"/>
      <c r="C74" s="25"/>
      <c r="D74" s="38"/>
      <c r="E74" s="27" t="s">
        <v>14</v>
      </c>
      <c r="F74" s="13"/>
    </row>
    <row r="75" spans="1:6">
      <c r="A75" s="35"/>
      <c r="B75" s="30"/>
      <c r="C75" s="25"/>
      <c r="D75" s="38">
        <v>-7644.3</v>
      </c>
      <c r="E75" s="27" t="s">
        <v>16</v>
      </c>
      <c r="F75" s="46">
        <v>-6498</v>
      </c>
    </row>
    <row r="76" spans="1:6">
      <c r="A76" s="35"/>
      <c r="B76" s="30"/>
      <c r="C76" s="25"/>
      <c r="D76" s="34">
        <f>SUM(D73:D75)</f>
        <v>43317.709999999992</v>
      </c>
      <c r="E76" s="27"/>
      <c r="F76" s="13">
        <f>SUM(F73:F75)</f>
        <v>36819.709999999992</v>
      </c>
    </row>
    <row r="77" spans="1:6">
      <c r="A77" s="35"/>
      <c r="B77" s="24"/>
      <c r="C77" s="25"/>
      <c r="D77" s="38"/>
      <c r="E77" s="27"/>
      <c r="F77" s="13"/>
    </row>
    <row r="78" spans="1:6">
      <c r="A78" s="35"/>
      <c r="B78" s="24"/>
      <c r="C78" s="25"/>
      <c r="D78" s="38"/>
      <c r="E78" s="21" t="s">
        <v>46</v>
      </c>
      <c r="F78" s="13"/>
    </row>
    <row r="79" spans="1:6">
      <c r="A79" s="35"/>
      <c r="B79" s="24"/>
      <c r="C79" s="25"/>
      <c r="D79" s="38">
        <v>39393.75</v>
      </c>
      <c r="E79" s="27" t="s">
        <v>12</v>
      </c>
      <c r="F79" s="13">
        <f>D82</f>
        <v>33484.68</v>
      </c>
    </row>
    <row r="80" spans="1:6">
      <c r="A80" s="35"/>
      <c r="B80" s="24"/>
      <c r="C80" s="25"/>
      <c r="D80" s="38"/>
      <c r="E80" s="27" t="s">
        <v>14</v>
      </c>
      <c r="F80" s="13"/>
    </row>
    <row r="81" spans="1:6">
      <c r="A81" s="35"/>
      <c r="B81" s="24"/>
      <c r="C81" s="25"/>
      <c r="D81" s="38">
        <v>-5909.07</v>
      </c>
      <c r="E81" s="27" t="s">
        <v>16</v>
      </c>
      <c r="F81" s="46">
        <f>-5023</f>
        <v>-5023</v>
      </c>
    </row>
    <row r="82" spans="1:6">
      <c r="A82" s="35"/>
      <c r="B82" s="24"/>
      <c r="C82" s="25"/>
      <c r="D82" s="34">
        <f>SUM(D79:D81)</f>
        <v>33484.68</v>
      </c>
      <c r="E82" s="27"/>
      <c r="F82" s="13">
        <f>SUM(F79:F81)</f>
        <v>28461.68</v>
      </c>
    </row>
    <row r="83" spans="1:6">
      <c r="A83" s="35"/>
      <c r="B83" s="24"/>
      <c r="C83" s="25"/>
      <c r="D83" s="38"/>
      <c r="E83" s="27"/>
      <c r="F83" s="13"/>
    </row>
    <row r="84" spans="1:6">
      <c r="A84" s="35"/>
      <c r="B84" s="24"/>
      <c r="C84" s="25"/>
      <c r="D84" s="38"/>
      <c r="E84" s="21" t="s">
        <v>47</v>
      </c>
      <c r="F84" s="13"/>
    </row>
    <row r="85" spans="1:6">
      <c r="A85" s="35"/>
      <c r="B85" s="24"/>
      <c r="C85" s="25"/>
      <c r="D85" s="38">
        <v>9932.65</v>
      </c>
      <c r="E85" s="27" t="s">
        <v>12</v>
      </c>
      <c r="F85" s="13">
        <f>D88</f>
        <v>8442.75</v>
      </c>
    </row>
    <row r="86" spans="1:6">
      <c r="A86" s="35"/>
      <c r="B86" s="24"/>
      <c r="C86" s="25"/>
      <c r="D86" s="38"/>
      <c r="E86" s="27" t="s">
        <v>14</v>
      </c>
      <c r="F86" s="13"/>
    </row>
    <row r="87" spans="1:6">
      <c r="A87" s="35"/>
      <c r="B87" s="24"/>
      <c r="C87" s="25"/>
      <c r="D87" s="38">
        <v>-1489.9</v>
      </c>
      <c r="E87" s="27" t="s">
        <v>16</v>
      </c>
      <c r="F87" s="46">
        <v>-1266</v>
      </c>
    </row>
    <row r="88" spans="1:6">
      <c r="A88" s="35"/>
      <c r="B88" s="24"/>
      <c r="C88" s="25"/>
      <c r="D88" s="34">
        <f>SUM(D85:D87)</f>
        <v>8442.75</v>
      </c>
      <c r="E88" s="27"/>
      <c r="F88" s="13">
        <f>SUM(F85:F87)</f>
        <v>7176.75</v>
      </c>
    </row>
    <row r="89" spans="1:6">
      <c r="A89" s="35"/>
      <c r="B89" s="24"/>
      <c r="C89" s="25"/>
      <c r="D89" s="38"/>
      <c r="E89" s="27"/>
      <c r="F89" s="13"/>
    </row>
    <row r="90" spans="1:6">
      <c r="A90" s="35"/>
      <c r="B90" s="24"/>
      <c r="C90" s="25"/>
      <c r="D90" s="38"/>
      <c r="E90" s="21" t="s">
        <v>48</v>
      </c>
      <c r="F90" s="13"/>
    </row>
    <row r="91" spans="1:6">
      <c r="A91" s="35"/>
      <c r="B91" s="24"/>
      <c r="C91" s="25"/>
      <c r="D91" s="38">
        <v>122215.44</v>
      </c>
      <c r="E91" s="27" t="s">
        <v>12</v>
      </c>
      <c r="F91" s="13">
        <f>D94</f>
        <v>103883.12</v>
      </c>
    </row>
    <row r="92" spans="1:6">
      <c r="A92" s="35"/>
      <c r="B92" s="24"/>
      <c r="C92" s="25"/>
      <c r="D92" s="38"/>
      <c r="E92" s="27" t="s">
        <v>14</v>
      </c>
      <c r="F92" s="13"/>
    </row>
    <row r="93" spans="1:6">
      <c r="A93" s="35"/>
      <c r="B93" s="24"/>
      <c r="C93" s="25"/>
      <c r="D93" s="38">
        <v>-18332.32</v>
      </c>
      <c r="E93" s="27" t="s">
        <v>16</v>
      </c>
      <c r="F93" s="46">
        <v>-15582</v>
      </c>
    </row>
    <row r="94" spans="1:6">
      <c r="A94" s="35"/>
      <c r="B94" s="24"/>
      <c r="C94" s="25"/>
      <c r="D94" s="34">
        <f>SUM(D91:D93)</f>
        <v>103883.12</v>
      </c>
      <c r="E94" s="27"/>
      <c r="F94" s="13">
        <f>SUM(F91:F93)</f>
        <v>88301.119999999995</v>
      </c>
    </row>
    <row r="95" spans="1:6">
      <c r="A95" s="35"/>
      <c r="B95" s="24"/>
      <c r="C95" s="25"/>
      <c r="D95" s="38"/>
      <c r="E95" s="27"/>
      <c r="F95" s="13"/>
    </row>
    <row r="96" spans="1:6">
      <c r="A96" s="35"/>
      <c r="B96" s="24"/>
      <c r="C96" s="25"/>
      <c r="D96" s="38"/>
      <c r="E96" s="21" t="s">
        <v>49</v>
      </c>
      <c r="F96" s="13"/>
    </row>
    <row r="97" spans="1:6">
      <c r="A97" s="35"/>
      <c r="B97" s="24"/>
      <c r="C97" s="25"/>
      <c r="D97" s="38">
        <v>35031.360000000001</v>
      </c>
      <c r="E97" s="27" t="s">
        <v>12</v>
      </c>
      <c r="F97" s="13">
        <f>D100</f>
        <v>29776.66</v>
      </c>
    </row>
    <row r="98" spans="1:6">
      <c r="A98" s="35"/>
      <c r="B98" s="24"/>
      <c r="C98" s="25"/>
      <c r="D98" s="38"/>
      <c r="E98" s="27" t="s">
        <v>14</v>
      </c>
      <c r="F98" s="13">
        <v>7906</v>
      </c>
    </row>
    <row r="99" spans="1:6">
      <c r="A99" s="35"/>
      <c r="B99" s="24"/>
      <c r="C99" s="25"/>
      <c r="D99" s="38">
        <v>-5254.7</v>
      </c>
      <c r="E99" s="27" t="s">
        <v>16</v>
      </c>
      <c r="F99" s="46">
        <v>-5059</v>
      </c>
    </row>
    <row r="100" spans="1:6">
      <c r="A100" s="35"/>
      <c r="B100" s="24"/>
      <c r="C100" s="25"/>
      <c r="D100" s="34">
        <f>SUM(D97:D99)</f>
        <v>29776.66</v>
      </c>
      <c r="E100" s="27"/>
      <c r="F100" s="13">
        <f>SUM(F97:F99)</f>
        <v>32623.660000000003</v>
      </c>
    </row>
    <row r="101" spans="1:6">
      <c r="A101" s="35"/>
      <c r="B101" s="24"/>
      <c r="C101" s="25"/>
      <c r="D101" s="38"/>
      <c r="E101" s="27"/>
      <c r="F101" s="13"/>
    </row>
    <row r="102" spans="1:6">
      <c r="A102" s="35"/>
      <c r="B102" s="24"/>
      <c r="C102" s="25"/>
      <c r="D102" s="38"/>
      <c r="E102" s="21" t="s">
        <v>50</v>
      </c>
      <c r="F102" s="13"/>
    </row>
    <row r="103" spans="1:6">
      <c r="A103" s="35"/>
      <c r="B103" s="24"/>
      <c r="C103" s="25"/>
      <c r="D103" s="38"/>
      <c r="E103" s="27" t="s">
        <v>12</v>
      </c>
      <c r="F103" s="13">
        <f>D106</f>
        <v>1100.75</v>
      </c>
    </row>
    <row r="104" spans="1:6">
      <c r="A104" s="35"/>
      <c r="B104" s="24"/>
      <c r="C104" s="25"/>
      <c r="D104" s="38">
        <v>1190</v>
      </c>
      <c r="E104" s="27" t="s">
        <v>14</v>
      </c>
      <c r="F104" s="13">
        <v>11740</v>
      </c>
    </row>
    <row r="105" spans="1:6">
      <c r="A105" s="35"/>
      <c r="B105" s="24"/>
      <c r="C105" s="25"/>
      <c r="D105" s="38">
        <v>-89.25</v>
      </c>
      <c r="E105" s="27" t="s">
        <v>16</v>
      </c>
      <c r="F105" s="46">
        <f>-12840.29</f>
        <v>-12840.29</v>
      </c>
    </row>
    <row r="106" spans="1:6">
      <c r="A106" s="35"/>
      <c r="B106" s="24"/>
      <c r="C106" s="25"/>
      <c r="D106" s="34">
        <f>SUM(D103:D105)</f>
        <v>1100.75</v>
      </c>
      <c r="E106" s="27"/>
      <c r="F106" s="13">
        <f>SUM(F103:F105)</f>
        <v>0.45999999999912689</v>
      </c>
    </row>
    <row r="107" spans="1:6">
      <c r="A107" s="35"/>
      <c r="B107" s="24"/>
      <c r="C107" s="25"/>
      <c r="D107" s="38"/>
      <c r="E107" s="27"/>
      <c r="F107" s="13"/>
    </row>
    <row r="108" spans="1:6">
      <c r="A108" s="35"/>
      <c r="B108" s="24"/>
      <c r="C108" s="25"/>
      <c r="D108" s="38"/>
      <c r="E108" s="21" t="s">
        <v>51</v>
      </c>
      <c r="F108" s="13"/>
    </row>
    <row r="109" spans="1:6">
      <c r="A109" s="35"/>
      <c r="B109" s="24"/>
      <c r="C109" s="25"/>
      <c r="D109" s="38">
        <v>247868.68999999997</v>
      </c>
      <c r="E109" s="27" t="s">
        <v>12</v>
      </c>
      <c r="F109" s="13">
        <f>D112</f>
        <v>210688.04999999996</v>
      </c>
    </row>
    <row r="110" spans="1:6">
      <c r="A110" s="35"/>
      <c r="B110" s="24"/>
      <c r="C110" s="25"/>
      <c r="D110" s="38"/>
      <c r="E110" s="27" t="s">
        <v>14</v>
      </c>
      <c r="F110" s="25">
        <v>40356</v>
      </c>
    </row>
    <row r="111" spans="1:6">
      <c r="A111" s="35"/>
      <c r="B111" s="24"/>
      <c r="C111" s="25"/>
      <c r="D111" s="38">
        <v>-37180.35</v>
      </c>
      <c r="E111" s="27" t="s">
        <v>16</v>
      </c>
      <c r="F111" s="25">
        <v>-34629.99</v>
      </c>
    </row>
    <row r="112" spans="1:6">
      <c r="A112" s="23"/>
      <c r="B112" s="30"/>
      <c r="C112" s="31"/>
      <c r="D112" s="34">
        <f>SUM(D109:D111)-0.29</f>
        <v>210688.04999999996</v>
      </c>
      <c r="E112" s="27"/>
      <c r="F112" s="33">
        <f>SUM(F109:F111)-0.29</f>
        <v>216413.76999999996</v>
      </c>
    </row>
    <row r="113" spans="1:6">
      <c r="A113" s="23"/>
      <c r="B113" s="30"/>
      <c r="C113" s="31"/>
      <c r="D113" s="38"/>
      <c r="E113" s="27"/>
      <c r="F113" s="13"/>
    </row>
    <row r="114" spans="1:6">
      <c r="A114" s="23"/>
      <c r="B114" s="30"/>
      <c r="C114" s="31"/>
      <c r="D114" s="38"/>
      <c r="E114" s="21" t="s">
        <v>52</v>
      </c>
      <c r="F114" s="13"/>
    </row>
    <row r="115" spans="1:6">
      <c r="A115" s="23"/>
      <c r="B115" s="30"/>
      <c r="C115" s="31"/>
      <c r="D115" s="38">
        <v>109550</v>
      </c>
      <c r="E115" s="27" t="s">
        <v>12</v>
      </c>
      <c r="F115" s="13">
        <f>D118</f>
        <v>81612.5</v>
      </c>
    </row>
    <row r="116" spans="1:6">
      <c r="A116" s="23"/>
      <c r="B116" s="30"/>
      <c r="C116" s="31"/>
      <c r="D116" s="38"/>
      <c r="E116" s="27" t="s">
        <v>14</v>
      </c>
      <c r="F116" s="13"/>
    </row>
    <row r="117" spans="1:6">
      <c r="A117" s="23"/>
      <c r="B117" s="30"/>
      <c r="C117" s="31"/>
      <c r="D117" s="38">
        <f>-27937.5</f>
        <v>-27937.5</v>
      </c>
      <c r="E117" s="27" t="s">
        <v>16</v>
      </c>
      <c r="F117" s="46">
        <f>19706</f>
        <v>19706</v>
      </c>
    </row>
    <row r="118" spans="1:6">
      <c r="A118" s="23"/>
      <c r="B118" s="30"/>
      <c r="C118" s="31"/>
      <c r="D118" s="34">
        <f>SUM(D115:D117)</f>
        <v>81612.5</v>
      </c>
      <c r="E118" s="27"/>
      <c r="F118" s="13">
        <f>F115-F117</f>
        <v>61906.5</v>
      </c>
    </row>
    <row r="119" spans="1:6">
      <c r="A119" s="23"/>
      <c r="B119" s="30"/>
      <c r="C119" s="31"/>
      <c r="D119" s="38"/>
      <c r="E119" s="27"/>
      <c r="F119" s="13"/>
    </row>
    <row r="120" spans="1:6">
      <c r="A120" s="23"/>
      <c r="B120" s="24"/>
      <c r="C120" s="25"/>
      <c r="D120" s="26">
        <f>0</f>
        <v>0</v>
      </c>
      <c r="E120" s="27" t="s">
        <v>53</v>
      </c>
      <c r="F120" s="31" t="s">
        <v>54</v>
      </c>
    </row>
    <row r="121" spans="1:6">
      <c r="A121" s="23"/>
      <c r="B121" s="30"/>
      <c r="C121" s="31"/>
      <c r="D121" s="34">
        <f>SUM(D120)</f>
        <v>0</v>
      </c>
      <c r="E121" s="21"/>
      <c r="F121" s="33"/>
    </row>
    <row r="122" spans="1:6">
      <c r="A122" s="23"/>
      <c r="B122" s="30"/>
      <c r="C122" s="25"/>
      <c r="D122" s="38"/>
      <c r="E122" s="21"/>
      <c r="F122" s="25"/>
    </row>
    <row r="123" spans="1:6">
      <c r="A123" s="35"/>
      <c r="B123" s="30"/>
      <c r="C123" s="25"/>
      <c r="D123" s="38"/>
      <c r="E123" s="21" t="s">
        <v>55</v>
      </c>
      <c r="F123" s="25"/>
    </row>
    <row r="124" spans="1:6">
      <c r="A124" s="35"/>
      <c r="B124" s="30"/>
      <c r="C124" s="25"/>
      <c r="D124" s="5">
        <f>4697</f>
        <v>4697</v>
      </c>
      <c r="E124" s="27" t="s">
        <v>56</v>
      </c>
      <c r="F124" s="25">
        <v>4697</v>
      </c>
    </row>
    <row r="125" spans="1:6">
      <c r="A125" s="35"/>
      <c r="B125" s="30"/>
      <c r="C125" s="25"/>
      <c r="D125" s="5">
        <f>39640</f>
        <v>39640</v>
      </c>
      <c r="E125" s="27" t="s">
        <v>57</v>
      </c>
      <c r="F125" s="25">
        <v>39640</v>
      </c>
    </row>
    <row r="126" spans="1:6">
      <c r="A126" s="35"/>
      <c r="B126" s="30"/>
      <c r="C126" s="25"/>
      <c r="D126" s="47">
        <f>261775</f>
        <v>261775</v>
      </c>
      <c r="E126" s="27" t="s">
        <v>58</v>
      </c>
      <c r="F126" s="43">
        <v>369735</v>
      </c>
    </row>
    <row r="127" spans="1:6">
      <c r="A127" s="35"/>
      <c r="B127" s="30"/>
      <c r="C127" s="25"/>
      <c r="D127" s="38">
        <f>SUM(D124:D126)</f>
        <v>306112</v>
      </c>
      <c r="E127" s="21"/>
      <c r="F127" s="25">
        <f>SUM(F124:F126)</f>
        <v>414072</v>
      </c>
    </row>
    <row r="128" spans="1:6">
      <c r="A128" s="35"/>
      <c r="B128" s="30"/>
      <c r="C128" s="25"/>
      <c r="D128" s="38"/>
      <c r="E128" s="21"/>
      <c r="F128" s="25"/>
    </row>
    <row r="129" spans="1:6">
      <c r="A129" s="35"/>
      <c r="B129" s="30"/>
      <c r="C129" s="25"/>
      <c r="D129" s="5">
        <f>550942+300976+94967+69742+816.36</f>
        <v>1017443.36</v>
      </c>
      <c r="E129" s="21" t="s">
        <v>59</v>
      </c>
      <c r="F129" s="25"/>
    </row>
    <row r="130" spans="1:6">
      <c r="A130" s="35"/>
      <c r="B130" s="30"/>
      <c r="C130" s="25"/>
      <c r="D130" s="26"/>
      <c r="E130" s="27"/>
      <c r="F130" s="31"/>
    </row>
    <row r="131" spans="1:6">
      <c r="A131" s="23"/>
      <c r="B131" s="24"/>
      <c r="C131" s="25"/>
      <c r="D131" s="48"/>
      <c r="E131" s="21" t="s">
        <v>60</v>
      </c>
      <c r="F131" s="31"/>
    </row>
    <row r="132" spans="1:6">
      <c r="A132" s="29"/>
      <c r="B132" s="30"/>
      <c r="C132" s="25"/>
      <c r="D132" s="48">
        <f>226302</f>
        <v>226302</v>
      </c>
      <c r="E132" s="27" t="s">
        <v>61</v>
      </c>
      <c r="F132" s="31"/>
    </row>
    <row r="133" spans="1:6">
      <c r="A133" s="29"/>
      <c r="B133" s="30"/>
      <c r="C133" s="25"/>
      <c r="D133" s="49">
        <f>10745</f>
        <v>10745</v>
      </c>
      <c r="E133" s="27" t="s">
        <v>62</v>
      </c>
      <c r="F133" s="31">
        <v>10745</v>
      </c>
    </row>
    <row r="134" spans="1:6">
      <c r="A134" s="23"/>
      <c r="B134" s="30"/>
      <c r="C134" s="31"/>
      <c r="D134" s="50">
        <f>5431349</f>
        <v>5431349</v>
      </c>
      <c r="E134" s="27" t="s">
        <v>63</v>
      </c>
      <c r="F134" s="51">
        <f>317600+40000+726+5963962+530169</f>
        <v>6852457</v>
      </c>
    </row>
    <row r="135" spans="1:6">
      <c r="A135" s="23"/>
      <c r="B135" s="30"/>
      <c r="C135" s="31"/>
      <c r="D135" s="38">
        <f>SUM(D132:D134)</f>
        <v>5668396</v>
      </c>
      <c r="E135" s="27"/>
      <c r="F135" s="25">
        <f>SUM(F132:F134)</f>
        <v>6863202</v>
      </c>
    </row>
    <row r="136" spans="1:6">
      <c r="A136" s="23"/>
      <c r="B136" s="30"/>
      <c r="C136" s="31"/>
      <c r="D136" s="38"/>
      <c r="E136" s="27"/>
      <c r="F136" s="25"/>
    </row>
    <row r="137" spans="1:6">
      <c r="A137" s="23"/>
      <c r="B137" s="30"/>
      <c r="C137" s="31"/>
      <c r="D137" s="26"/>
      <c r="E137" s="21" t="s">
        <v>64</v>
      </c>
      <c r="F137" s="25"/>
    </row>
    <row r="138" spans="1:6">
      <c r="A138" s="23"/>
      <c r="B138" s="30"/>
      <c r="C138" s="31"/>
      <c r="D138" s="48">
        <f>15266+0.42</f>
        <v>15266.42</v>
      </c>
      <c r="E138" s="27" t="s">
        <v>65</v>
      </c>
      <c r="F138" s="31">
        <v>11259</v>
      </c>
    </row>
    <row r="139" spans="1:6">
      <c r="A139" s="23"/>
      <c r="B139" s="30"/>
      <c r="C139" s="31"/>
      <c r="D139" s="48">
        <f>43225815.06</f>
        <v>43225815.060000002</v>
      </c>
      <c r="E139" s="27" t="s">
        <v>66</v>
      </c>
      <c r="F139" s="31">
        <v>52815199.43</v>
      </c>
    </row>
    <row r="140" spans="1:6">
      <c r="A140" s="23"/>
      <c r="B140" s="30"/>
      <c r="C140" s="31"/>
      <c r="D140" s="26"/>
      <c r="E140" s="27"/>
      <c r="F140" s="31"/>
    </row>
    <row r="141" spans="1:6">
      <c r="A141" s="23"/>
      <c r="B141" s="30"/>
      <c r="C141" s="31"/>
      <c r="D141" s="52"/>
      <c r="E141" s="27"/>
      <c r="F141" s="31"/>
    </row>
    <row r="142" spans="1:6">
      <c r="A142" s="23"/>
      <c r="B142" s="30"/>
      <c r="C142" s="31"/>
      <c r="D142" s="38">
        <f>SUM(D138:D141)</f>
        <v>43241081.480000004</v>
      </c>
      <c r="E142" s="27"/>
      <c r="F142" s="25">
        <f>SUM(F138:F141)</f>
        <v>52826458.43</v>
      </c>
    </row>
    <row r="143" spans="1:6" ht="15.75" thickBot="1">
      <c r="A143" s="53"/>
      <c r="B143" s="30"/>
      <c r="C143" s="54"/>
      <c r="D143" s="26"/>
      <c r="E143" s="27"/>
      <c r="F143" s="54"/>
    </row>
    <row r="144" spans="1:6" ht="15.75" thickBot="1">
      <c r="A144" s="55">
        <f>A13+A25+A30+A36+A42+A48+A56</f>
        <v>52168128.300000012</v>
      </c>
      <c r="B144" s="56"/>
      <c r="C144" s="57">
        <f>C56+C48+C42+C36+C30+C25+C13</f>
        <v>62189873.670000017</v>
      </c>
      <c r="D144" s="55">
        <f>D13+D19+D27+D33+D39+D45+D51+D57+D63+D69+D76+D82+D88+D94+D100+D106+D112+D118+D127+D129+D135+D142</f>
        <v>52168128.300000004</v>
      </c>
      <c r="E144" s="58"/>
      <c r="F144" s="59">
        <f>F13+F19+F27+F33+F39+F45+F51+F57+F63+F69+F76+F82+F88+F94+F100+F106+F112+F118+F127+F129+F135+F142</f>
        <v>62189873.82</v>
      </c>
    </row>
    <row r="145" spans="1:6">
      <c r="A145" s="60"/>
      <c r="B145" s="61"/>
      <c r="C145" s="62"/>
      <c r="D145" s="62"/>
      <c r="E145" s="61"/>
      <c r="F145" s="63"/>
    </row>
    <row r="146" spans="1:6">
      <c r="A146" s="106" t="s">
        <v>67</v>
      </c>
      <c r="B146" s="107"/>
      <c r="C146" s="107"/>
      <c r="D146" s="64"/>
      <c r="E146" s="65"/>
      <c r="F146" s="66"/>
    </row>
    <row r="147" spans="1:6">
      <c r="A147" s="67"/>
      <c r="B147" s="68"/>
      <c r="C147" s="69"/>
      <c r="D147" s="64"/>
      <c r="E147" s="65"/>
      <c r="F147" s="66"/>
    </row>
    <row r="148" spans="1:6">
      <c r="A148" s="70" t="s">
        <v>68</v>
      </c>
      <c r="B148" s="68"/>
      <c r="C148" s="64"/>
      <c r="D148" s="64" t="s">
        <v>68</v>
      </c>
      <c r="E148" s="65"/>
      <c r="F148" s="66"/>
    </row>
    <row r="149" spans="1:6">
      <c r="A149" s="70"/>
      <c r="B149" s="68"/>
      <c r="C149" s="64"/>
      <c r="D149" s="64"/>
      <c r="E149" s="65"/>
      <c r="F149" s="66"/>
    </row>
    <row r="150" spans="1:6">
      <c r="A150" s="70"/>
      <c r="B150" s="71" t="s">
        <v>69</v>
      </c>
      <c r="C150" s="69"/>
      <c r="D150" s="64"/>
      <c r="E150" s="72" t="s">
        <v>70</v>
      </c>
      <c r="F150" s="73"/>
    </row>
    <row r="151" spans="1:6">
      <c r="A151" s="74"/>
      <c r="B151" s="65" t="s">
        <v>71</v>
      </c>
      <c r="C151" s="75"/>
      <c r="D151" s="76"/>
      <c r="E151" s="72"/>
      <c r="F151" s="77"/>
    </row>
    <row r="152" spans="1:6">
      <c r="A152" s="74"/>
      <c r="B152" s="78" t="s">
        <v>72</v>
      </c>
      <c r="C152" s="76"/>
      <c r="D152" s="76"/>
      <c r="E152" s="79"/>
      <c r="F152" s="80"/>
    </row>
    <row r="153" spans="1:6" ht="15.75" thickBot="1">
      <c r="A153" s="81" t="s">
        <v>73</v>
      </c>
      <c r="B153" s="82"/>
      <c r="C153" s="83"/>
      <c r="D153" s="84" t="s">
        <v>73</v>
      </c>
      <c r="E153" s="85"/>
      <c r="F153" s="86"/>
    </row>
    <row r="154" spans="1:6">
      <c r="A154" s="87"/>
      <c r="B154" s="30"/>
      <c r="C154" s="88"/>
      <c r="D154" s="87"/>
      <c r="E154" s="30"/>
      <c r="F154" s="88"/>
    </row>
    <row r="155" spans="1:6">
      <c r="A155" s="87"/>
      <c r="B155" s="30"/>
      <c r="C155" s="88"/>
      <c r="D155" s="87"/>
      <c r="E155" s="30"/>
      <c r="F155" s="88"/>
    </row>
    <row r="156" spans="1:6" ht="15.75" thickBot="1">
      <c r="A156" s="87"/>
      <c r="B156" s="30"/>
      <c r="C156" s="88"/>
      <c r="D156" s="87"/>
      <c r="E156" s="30"/>
      <c r="F156" s="88"/>
    </row>
    <row r="157" spans="1:6">
      <c r="A157" s="108" t="s">
        <v>0</v>
      </c>
      <c r="B157" s="109"/>
      <c r="C157" s="109"/>
      <c r="D157" s="109"/>
      <c r="E157" s="109"/>
      <c r="F157" s="110"/>
    </row>
    <row r="158" spans="1:6">
      <c r="A158" s="103" t="s">
        <v>1</v>
      </c>
      <c r="B158" s="104"/>
      <c r="C158" s="104"/>
      <c r="D158" s="104"/>
      <c r="E158" s="104"/>
      <c r="F158" s="105"/>
    </row>
    <row r="159" spans="1:6" ht="17.25">
      <c r="A159" s="103" t="s">
        <v>74</v>
      </c>
      <c r="B159" s="104"/>
      <c r="C159" s="104"/>
      <c r="D159" s="104"/>
      <c r="E159" s="104"/>
      <c r="F159" s="105"/>
    </row>
    <row r="160" spans="1:6" ht="15.75" thickBot="1">
      <c r="A160" s="89"/>
      <c r="B160" s="90"/>
      <c r="C160" s="91"/>
      <c r="D160" s="92"/>
      <c r="E160" s="90"/>
      <c r="F160" s="93"/>
    </row>
    <row r="161" spans="1:6">
      <c r="A161" s="6" t="s">
        <v>3</v>
      </c>
      <c r="B161" s="7"/>
      <c r="C161" s="8" t="s">
        <v>3</v>
      </c>
      <c r="D161" s="20" t="s">
        <v>3</v>
      </c>
      <c r="E161" s="94"/>
      <c r="F161" s="8" t="s">
        <v>3</v>
      </c>
    </row>
    <row r="162" spans="1:6" ht="17.25">
      <c r="A162" s="11" t="s">
        <v>75</v>
      </c>
      <c r="B162" s="12" t="s">
        <v>76</v>
      </c>
      <c r="C162" s="13" t="s">
        <v>6</v>
      </c>
      <c r="D162" s="22" t="s">
        <v>4</v>
      </c>
      <c r="E162" s="14" t="s">
        <v>77</v>
      </c>
      <c r="F162" s="13" t="s">
        <v>6</v>
      </c>
    </row>
    <row r="163" spans="1:6" ht="15.75" thickBot="1">
      <c r="A163" s="15" t="s">
        <v>8</v>
      </c>
      <c r="B163" s="16"/>
      <c r="C163" s="17" t="s">
        <v>8</v>
      </c>
      <c r="D163" s="95" t="s">
        <v>8</v>
      </c>
      <c r="E163" s="18"/>
      <c r="F163" s="17" t="s">
        <v>8</v>
      </c>
    </row>
    <row r="164" spans="1:6">
      <c r="A164" s="96"/>
      <c r="B164" s="30"/>
      <c r="C164" s="97"/>
      <c r="D164" s="26"/>
      <c r="E164" s="98"/>
      <c r="F164" s="31"/>
    </row>
    <row r="165" spans="1:6">
      <c r="A165" s="31">
        <v>8000</v>
      </c>
      <c r="B165" s="30" t="s">
        <v>78</v>
      </c>
      <c r="C165" s="31">
        <v>8000</v>
      </c>
      <c r="D165" s="26"/>
      <c r="E165" s="98"/>
      <c r="F165" s="31"/>
    </row>
    <row r="166" spans="1:6">
      <c r="A166" s="31">
        <f>93000948</f>
        <v>93000948</v>
      </c>
      <c r="B166" s="30" t="s">
        <v>79</v>
      </c>
      <c r="C166" s="31">
        <f>111116356+4833961+37362</f>
        <v>115987679</v>
      </c>
      <c r="D166" s="31">
        <f>-6770+5400-114300+3019187+684400+344900+144800+341400+341400+843910+431250+86250+1304800+17270+51210+426750+1820+42845+468008-186800+1050-3600+1450+1674+90250+6200+925-50</f>
        <v>8345629</v>
      </c>
      <c r="E166" s="98" t="s">
        <v>80</v>
      </c>
      <c r="F166" s="31">
        <f>10395814-1686+1134937</f>
        <v>11529065</v>
      </c>
    </row>
    <row r="167" spans="1:6">
      <c r="A167" s="31"/>
      <c r="B167" s="30" t="s">
        <v>81</v>
      </c>
      <c r="C167" s="31"/>
      <c r="D167" s="31">
        <v>93</v>
      </c>
      <c r="E167" s="98" t="s">
        <v>82</v>
      </c>
      <c r="F167" s="31">
        <v>94</v>
      </c>
    </row>
    <row r="168" spans="1:6">
      <c r="A168" s="31">
        <f>2832000</f>
        <v>2832000</v>
      </c>
      <c r="B168" s="30" t="s">
        <v>25</v>
      </c>
      <c r="C168" s="31">
        <v>708000</v>
      </c>
      <c r="D168" s="26"/>
      <c r="E168" s="98"/>
      <c r="F168" s="31"/>
    </row>
    <row r="169" spans="1:6">
      <c r="A169" s="31">
        <f>12238+14840</f>
        <v>27078</v>
      </c>
      <c r="B169" s="30" t="s">
        <v>83</v>
      </c>
      <c r="C169" s="31">
        <f>12720+2386+3005</f>
        <v>18111</v>
      </c>
      <c r="D169" s="26"/>
      <c r="E169" s="99" t="s">
        <v>84</v>
      </c>
      <c r="F169" s="31"/>
    </row>
    <row r="170" spans="1:6">
      <c r="A170" s="31"/>
      <c r="B170" s="30" t="s">
        <v>85</v>
      </c>
      <c r="C170" s="31">
        <v>14600</v>
      </c>
      <c r="D170" s="26">
        <f>0</f>
        <v>0</v>
      </c>
      <c r="E170" s="98" t="s">
        <v>86</v>
      </c>
      <c r="F170" s="31" t="s">
        <v>54</v>
      </c>
    </row>
    <row r="171" spans="1:6">
      <c r="A171" s="31">
        <f>8084+8468+11800+123200</f>
        <v>151552</v>
      </c>
      <c r="B171" s="30" t="s">
        <v>87</v>
      </c>
      <c r="C171" s="31">
        <f>4000+26288</f>
        <v>30288</v>
      </c>
      <c r="D171" s="38">
        <f>SUM(D170:D170)</f>
        <v>0</v>
      </c>
      <c r="E171" s="98"/>
      <c r="F171" s="25">
        <f>SUM(F170:F170)</f>
        <v>0</v>
      </c>
    </row>
    <row r="172" spans="1:6">
      <c r="A172" s="31">
        <f>2232</f>
        <v>2232</v>
      </c>
      <c r="B172" s="30" t="s">
        <v>88</v>
      </c>
      <c r="C172" s="31">
        <f>2268</f>
        <v>2268</v>
      </c>
      <c r="D172" s="26"/>
      <c r="E172" s="98"/>
      <c r="F172" s="31"/>
    </row>
    <row r="173" spans="1:6">
      <c r="A173" s="31">
        <f>216960</f>
        <v>216960</v>
      </c>
      <c r="B173" s="30" t="s">
        <v>89</v>
      </c>
      <c r="C173" s="31">
        <v>310358</v>
      </c>
      <c r="D173" s="26"/>
      <c r="E173" s="98"/>
      <c r="F173" s="31"/>
    </row>
    <row r="174" spans="1:6">
      <c r="A174" s="31">
        <f>29560+26809</f>
        <v>56369</v>
      </c>
      <c r="B174" s="30" t="s">
        <v>90</v>
      </c>
      <c r="C174" s="31">
        <f>203154+32460+982836+49222+30911+78692+30193+489926-1467700</f>
        <v>429694</v>
      </c>
      <c r="D174" s="26"/>
      <c r="E174" s="98"/>
      <c r="F174" s="31"/>
    </row>
    <row r="175" spans="1:6">
      <c r="A175" s="31">
        <f>777</f>
        <v>777</v>
      </c>
      <c r="B175" s="30" t="s">
        <v>91</v>
      </c>
      <c r="C175" s="31">
        <f>2477</f>
        <v>2477</v>
      </c>
      <c r="D175" s="26"/>
      <c r="E175" s="99" t="s">
        <v>92</v>
      </c>
      <c r="F175" s="31"/>
    </row>
    <row r="176" spans="1:6">
      <c r="A176" s="31">
        <f>15552</f>
        <v>15552</v>
      </c>
      <c r="B176" s="30" t="s">
        <v>93</v>
      </c>
      <c r="C176" s="31">
        <v>30081</v>
      </c>
      <c r="D176" s="31">
        <f>329793+18125+163600+843600+34140+85350+5963+34500+51750+10660+10099+6300+7800+1719+516.9+119236+85550+6000+20730</f>
        <v>1835431.9</v>
      </c>
      <c r="E176" s="98" t="s">
        <v>94</v>
      </c>
      <c r="F176" s="31">
        <f>384899.53+82996+27600+41400+6023+16200+95750+35370+86610+291965+46793</f>
        <v>1115606.53</v>
      </c>
    </row>
    <row r="177" spans="1:6">
      <c r="A177" s="31">
        <f>1691089</f>
        <v>1691089</v>
      </c>
      <c r="B177" s="30" t="s">
        <v>95</v>
      </c>
      <c r="C177" s="31">
        <v>448170</v>
      </c>
      <c r="D177" s="31"/>
      <c r="E177" s="98"/>
      <c r="F177" s="31"/>
    </row>
    <row r="178" spans="1:6">
      <c r="A178" s="31">
        <f>4888.74</f>
        <v>4888.74</v>
      </c>
      <c r="B178" s="30" t="s">
        <v>96</v>
      </c>
      <c r="C178" s="31">
        <v>31372.66</v>
      </c>
      <c r="D178" s="31"/>
      <c r="E178" s="98"/>
      <c r="F178" s="31"/>
    </row>
    <row r="179" spans="1:6">
      <c r="A179" s="31">
        <f>-2220</f>
        <v>-2220</v>
      </c>
      <c r="B179" s="30" t="s">
        <v>97</v>
      </c>
      <c r="C179" s="31">
        <v>39662</v>
      </c>
      <c r="D179" s="31">
        <f>105650+94271437</f>
        <v>94377087</v>
      </c>
      <c r="E179" s="98" t="s">
        <v>98</v>
      </c>
      <c r="F179" s="31">
        <f>97241510+18313046</f>
        <v>115554556</v>
      </c>
    </row>
    <row r="180" spans="1:6">
      <c r="A180" s="31"/>
      <c r="B180" s="30" t="s">
        <v>99</v>
      </c>
      <c r="C180" s="31">
        <v>40299</v>
      </c>
      <c r="D180" s="26"/>
      <c r="E180" s="98"/>
      <c r="F180" s="31"/>
    </row>
    <row r="181" spans="1:6">
      <c r="A181" s="31"/>
      <c r="B181" s="30" t="s">
        <v>100</v>
      </c>
      <c r="C181" s="31"/>
      <c r="D181" s="26"/>
      <c r="E181" s="98"/>
      <c r="F181" s="31"/>
    </row>
    <row r="182" spans="1:6">
      <c r="A182" s="31">
        <v>461236.62</v>
      </c>
      <c r="B182" s="30" t="s">
        <v>101</v>
      </c>
      <c r="C182" s="31">
        <f>395831+88709</f>
        <v>484540</v>
      </c>
      <c r="D182" s="26"/>
      <c r="E182" s="98"/>
      <c r="F182" s="31"/>
    </row>
    <row r="183" spans="1:6">
      <c r="A183" s="31">
        <f>10760</f>
        <v>10760</v>
      </c>
      <c r="B183" s="30" t="s">
        <v>102</v>
      </c>
      <c r="C183" s="31"/>
      <c r="D183" s="26"/>
      <c r="E183" s="98"/>
      <c r="F183" s="31"/>
    </row>
    <row r="184" spans="1:6">
      <c r="A184" s="31">
        <f>95000</f>
        <v>95000</v>
      </c>
      <c r="B184" s="30" t="s">
        <v>103</v>
      </c>
      <c r="C184" s="31">
        <v>130000</v>
      </c>
      <c r="D184" s="26"/>
      <c r="E184" s="98"/>
      <c r="F184" s="31"/>
    </row>
    <row r="185" spans="1:6">
      <c r="A185" s="31">
        <f>716+206208-6476</f>
        <v>200448</v>
      </c>
      <c r="B185" s="30" t="s">
        <v>104</v>
      </c>
      <c r="C185" s="31"/>
      <c r="D185" s="26"/>
      <c r="E185" s="98"/>
      <c r="F185" s="31"/>
    </row>
    <row r="186" spans="1:6">
      <c r="A186" s="31">
        <f>471617.21+5050+9027</f>
        <v>485694.21</v>
      </c>
      <c r="B186" s="30" t="s">
        <v>105</v>
      </c>
      <c r="C186" s="31">
        <f>192605+5959</f>
        <v>198564</v>
      </c>
      <c r="D186" s="26"/>
      <c r="E186" s="98"/>
      <c r="F186" s="31"/>
    </row>
    <row r="187" spans="1:6">
      <c r="A187" s="31"/>
      <c r="B187" s="30" t="s">
        <v>106</v>
      </c>
      <c r="C187" s="31">
        <v>14790</v>
      </c>
      <c r="D187" s="26"/>
      <c r="E187" s="98"/>
      <c r="F187" s="31"/>
    </row>
    <row r="188" spans="1:6">
      <c r="A188" s="31">
        <f>1200</f>
        <v>1200</v>
      </c>
      <c r="B188" s="30" t="s">
        <v>107</v>
      </c>
      <c r="C188" s="31">
        <v>1200</v>
      </c>
      <c r="D188" s="26"/>
      <c r="E188" s="98"/>
      <c r="F188" s="31"/>
    </row>
    <row r="189" spans="1:6">
      <c r="A189" s="31">
        <f>122710</f>
        <v>122710</v>
      </c>
      <c r="B189" s="30" t="s">
        <v>108</v>
      </c>
      <c r="C189" s="31">
        <v>224580</v>
      </c>
      <c r="D189" s="26"/>
      <c r="E189" s="98"/>
      <c r="F189" s="31"/>
    </row>
    <row r="190" spans="1:6">
      <c r="A190" s="31">
        <v>35400</v>
      </c>
      <c r="B190" s="30" t="s">
        <v>109</v>
      </c>
      <c r="C190" s="31">
        <v>50000</v>
      </c>
      <c r="D190" s="26"/>
      <c r="E190" s="98"/>
      <c r="F190" s="31"/>
    </row>
    <row r="191" spans="1:6">
      <c r="A191" s="31"/>
      <c r="B191" s="30" t="s">
        <v>110</v>
      </c>
      <c r="C191" s="31"/>
      <c r="D191" s="26"/>
      <c r="E191" s="98"/>
      <c r="F191" s="31"/>
    </row>
    <row r="192" spans="1:6">
      <c r="A192" s="31">
        <f>-64</f>
        <v>-64</v>
      </c>
      <c r="B192" s="30" t="s">
        <v>111</v>
      </c>
      <c r="C192" s="31">
        <v>23418</v>
      </c>
      <c r="D192" s="26"/>
      <c r="E192" s="98"/>
      <c r="F192" s="31"/>
    </row>
    <row r="193" spans="1:6">
      <c r="A193" s="31">
        <f>25000</f>
        <v>25000</v>
      </c>
      <c r="B193" s="30" t="s">
        <v>112</v>
      </c>
      <c r="C193" s="31">
        <v>43262</v>
      </c>
      <c r="D193" s="26"/>
      <c r="E193" s="98"/>
      <c r="F193" s="31"/>
    </row>
    <row r="194" spans="1:6">
      <c r="A194" s="31"/>
      <c r="B194" s="30" t="s">
        <v>113</v>
      </c>
      <c r="C194" s="31"/>
      <c r="D194" s="26"/>
      <c r="E194" s="98"/>
      <c r="F194" s="31"/>
    </row>
    <row r="195" spans="1:6">
      <c r="A195" s="31"/>
      <c r="B195" s="30" t="s">
        <v>114</v>
      </c>
      <c r="C195" s="31"/>
      <c r="D195" s="26"/>
      <c r="E195" s="98"/>
      <c r="F195" s="31"/>
    </row>
    <row r="196" spans="1:6">
      <c r="A196" s="31">
        <f>6675</f>
        <v>6675</v>
      </c>
      <c r="B196" s="30" t="s">
        <v>115</v>
      </c>
      <c r="C196" s="31"/>
      <c r="D196" s="26"/>
      <c r="E196" s="98"/>
      <c r="F196" s="31"/>
    </row>
    <row r="197" spans="1:6">
      <c r="A197" s="31"/>
      <c r="B197" s="30" t="s">
        <v>116</v>
      </c>
      <c r="C197" s="31">
        <v>30000</v>
      </c>
      <c r="D197" s="26"/>
      <c r="E197" s="98"/>
      <c r="F197" s="31"/>
    </row>
    <row r="198" spans="1:6">
      <c r="A198" s="31">
        <f>11900</f>
        <v>11900</v>
      </c>
      <c r="B198" s="30" t="s">
        <v>117</v>
      </c>
      <c r="C198" s="31"/>
      <c r="D198" s="26"/>
      <c r="E198" s="98"/>
      <c r="F198" s="31"/>
    </row>
    <row r="199" spans="1:6">
      <c r="A199" s="31">
        <f>14466+5900+10000+4552+65090+17254</f>
        <v>117262</v>
      </c>
      <c r="B199" s="30" t="s">
        <v>118</v>
      </c>
      <c r="C199" s="31">
        <f>455536+17694+1000+4959+8358-88709</f>
        <v>398838</v>
      </c>
      <c r="D199" s="26"/>
      <c r="E199" s="98"/>
      <c r="F199" s="31"/>
    </row>
    <row r="200" spans="1:6">
      <c r="A200" s="31"/>
      <c r="B200" s="30" t="s">
        <v>119</v>
      </c>
      <c r="C200" s="31"/>
      <c r="D200" s="26"/>
      <c r="E200" s="98"/>
      <c r="F200" s="31"/>
    </row>
    <row r="201" spans="1:6">
      <c r="A201" s="35">
        <f>SUM(A165:A200)</f>
        <v>99578447.569999993</v>
      </c>
      <c r="B201" s="30"/>
      <c r="C201" s="25">
        <f>SUM(C165:C200)</f>
        <v>119700251.66</v>
      </c>
      <c r="D201" s="26"/>
      <c r="E201" s="98"/>
      <c r="F201" s="31"/>
    </row>
    <row r="202" spans="1:6">
      <c r="A202" s="35"/>
      <c r="B202" s="30"/>
      <c r="C202" s="25"/>
      <c r="D202" s="26"/>
      <c r="E202" s="98"/>
      <c r="F202" s="31"/>
    </row>
    <row r="203" spans="1:6">
      <c r="A203" s="35"/>
      <c r="B203" s="30"/>
      <c r="C203" s="25"/>
      <c r="D203" s="26"/>
      <c r="E203" s="98"/>
      <c r="F203" s="31"/>
    </row>
    <row r="204" spans="1:6">
      <c r="A204" s="35"/>
      <c r="B204" s="30"/>
      <c r="C204" s="31"/>
      <c r="D204" s="26"/>
      <c r="E204" s="98"/>
      <c r="F204" s="31"/>
    </row>
    <row r="205" spans="1:6">
      <c r="A205" s="35"/>
      <c r="B205" s="30"/>
      <c r="C205" s="31"/>
      <c r="D205" s="26"/>
      <c r="E205" s="98"/>
      <c r="F205" s="31"/>
    </row>
    <row r="206" spans="1:6">
      <c r="A206" s="35"/>
      <c r="B206" s="30"/>
      <c r="C206" s="31"/>
      <c r="D206" s="26"/>
      <c r="E206" s="2" t="s">
        <v>120</v>
      </c>
      <c r="F206" s="31"/>
    </row>
    <row r="207" spans="1:6">
      <c r="A207" s="35"/>
      <c r="B207" s="30"/>
      <c r="C207" s="31"/>
      <c r="D207" s="26">
        <f>A211-D166-D176-D179</f>
        <v>-4979700.3300000131</v>
      </c>
      <c r="E207" s="2" t="s">
        <v>121</v>
      </c>
      <c r="F207" s="31"/>
    </row>
    <row r="208" spans="1:6">
      <c r="A208" s="23"/>
      <c r="B208" s="2" t="s">
        <v>122</v>
      </c>
      <c r="C208" s="31"/>
      <c r="D208" s="26"/>
      <c r="E208" s="98"/>
      <c r="F208" s="31"/>
    </row>
    <row r="209" spans="1:6">
      <c r="A209" s="35"/>
      <c r="B209" s="2" t="s">
        <v>121</v>
      </c>
      <c r="C209" s="25">
        <f>F211-C201</f>
        <v>8499069.8700000048</v>
      </c>
      <c r="D209" s="26"/>
      <c r="E209" s="98"/>
      <c r="F209" s="31"/>
    </row>
    <row r="210" spans="1:6" ht="15.75" thickBot="1">
      <c r="A210" s="53"/>
      <c r="B210" s="30"/>
      <c r="C210" s="54"/>
      <c r="D210" s="26"/>
      <c r="E210" s="98"/>
      <c r="F210" s="31"/>
    </row>
    <row r="211" spans="1:6" ht="15.75" thickBot="1">
      <c r="A211" s="55">
        <f>A201</f>
        <v>99578447.569999993</v>
      </c>
      <c r="B211" s="100"/>
      <c r="C211" s="57">
        <f>F211</f>
        <v>128199321.53</v>
      </c>
      <c r="D211" s="101">
        <f>A211</f>
        <v>99578447.569999993</v>
      </c>
      <c r="E211" s="102"/>
      <c r="F211" s="57">
        <f>F179+F176+F166+F167</f>
        <v>128199321.53</v>
      </c>
    </row>
    <row r="212" spans="1:6">
      <c r="A212" s="60"/>
      <c r="B212" s="61"/>
      <c r="C212" s="62"/>
      <c r="D212" s="62"/>
      <c r="E212" s="61"/>
      <c r="F212" s="63"/>
    </row>
    <row r="213" spans="1:6">
      <c r="A213" s="106" t="s">
        <v>67</v>
      </c>
      <c r="B213" s="107"/>
      <c r="C213" s="107"/>
      <c r="D213" s="64"/>
      <c r="E213" s="65"/>
      <c r="F213" s="66"/>
    </row>
    <row r="214" spans="1:6">
      <c r="A214" s="67"/>
      <c r="B214" s="68"/>
      <c r="C214" s="69"/>
      <c r="D214" s="64"/>
      <c r="E214" s="65"/>
      <c r="F214" s="66"/>
    </row>
    <row r="215" spans="1:6">
      <c r="A215" s="70" t="s">
        <v>68</v>
      </c>
      <c r="B215" s="68"/>
      <c r="C215" s="64"/>
      <c r="D215" s="64" t="s">
        <v>68</v>
      </c>
      <c r="E215" s="65"/>
      <c r="F215" s="66"/>
    </row>
    <row r="216" spans="1:6">
      <c r="A216" s="70"/>
      <c r="B216" s="68"/>
      <c r="C216" s="64"/>
      <c r="D216" s="64"/>
      <c r="E216" s="65"/>
      <c r="F216" s="66"/>
    </row>
    <row r="217" spans="1:6">
      <c r="A217" s="70"/>
      <c r="B217" s="71" t="s">
        <v>69</v>
      </c>
      <c r="C217" s="69"/>
      <c r="D217" s="64"/>
      <c r="E217" s="72" t="s">
        <v>70</v>
      </c>
      <c r="F217" s="73"/>
    </row>
    <row r="218" spans="1:6">
      <c r="A218" s="74"/>
      <c r="B218" s="65" t="s">
        <v>71</v>
      </c>
      <c r="C218" s="75"/>
      <c r="D218" s="76"/>
      <c r="E218" s="72"/>
      <c r="F218" s="77"/>
    </row>
    <row r="219" spans="1:6">
      <c r="A219" s="74"/>
      <c r="B219" s="78" t="s">
        <v>72</v>
      </c>
      <c r="C219" s="76"/>
      <c r="D219" s="76"/>
      <c r="E219" s="79"/>
      <c r="F219" s="80"/>
    </row>
    <row r="220" spans="1:6" ht="15.75" thickBot="1">
      <c r="A220" s="81" t="s">
        <v>73</v>
      </c>
      <c r="B220" s="82"/>
      <c r="C220" s="83"/>
      <c r="D220" s="84" t="s">
        <v>73</v>
      </c>
      <c r="E220" s="85"/>
      <c r="F220" s="86"/>
    </row>
  </sheetData>
  <mergeCells count="8">
    <mergeCell ref="A159:F159"/>
    <mergeCell ref="A213:C213"/>
    <mergeCell ref="A1:F1"/>
    <mergeCell ref="A2:F2"/>
    <mergeCell ref="A3:F3"/>
    <mergeCell ref="A146:C146"/>
    <mergeCell ref="A157:F157"/>
    <mergeCell ref="A158:F1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2022-12-22T05:20:53Z</dcterms:modified>
</cp:coreProperties>
</file>